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Patent Documents" r:id="rId3" sheetId="1"/>
  </sheets>
  <definedNames>
    <definedName name="_xlnm._FilterDatabase" localSheetId="0" hidden="true">'Patent Documents'!$A$1:$W$567</definedName>
  </definedNames>
</workbook>
</file>

<file path=xl/sharedStrings.xml><?xml version="1.0" encoding="utf-8"?>
<sst xmlns="http://schemas.openxmlformats.org/spreadsheetml/2006/main" count="6248" uniqueCount="3100">
  <si>
    <t>Database</t>
  </si>
  <si>
    <t>Number</t>
  </si>
  <si>
    <t>Categories</t>
  </si>
  <si>
    <t>Tags</t>
  </si>
  <si>
    <t>Title</t>
  </si>
  <si>
    <t>Google Link</t>
  </si>
  <si>
    <t>Patent Center</t>
  </si>
  <si>
    <t>Espacenet</t>
  </si>
  <si>
    <t>USPTO Link</t>
  </si>
  <si>
    <t>USPTO PDF Link</t>
  </si>
  <si>
    <t>PMD Link</t>
  </si>
  <si>
    <t>Global Dossier</t>
  </si>
  <si>
    <t>Appl Num</t>
  </si>
  <si>
    <t>Core Assignee Name</t>
  </si>
  <si>
    <t>Core Assignee Stem</t>
  </si>
  <si>
    <t>Inventors</t>
  </si>
  <si>
    <t>Filing Date</t>
  </si>
  <si>
    <t>Issue/Publication Date</t>
  </si>
  <si>
    <t>First Extracted Date</t>
  </si>
  <si>
    <t>Last Tagged Date</t>
  </si>
  <si>
    <t>CPC Classification</t>
  </si>
  <si>
    <t>Abstract</t>
  </si>
  <si>
    <t>Pre-grant Publication</t>
  </si>
  <si>
    <t>US20210314767</t>
  </si>
  <si>
    <t>Voice and Radio</t>
  </si>
  <si>
    <t>Voice &amp; Radio</t>
  </si>
  <si>
    <t>CONNECTION METHOD, CONFIGURATION UPDATING METHOD, CONTROL PLANE DEVICE,     AND USER PLANE DEVICE</t>
  </si>
  <si>
    <t>17/348205</t>
  </si>
  <si>
    <t>ZTE CORPORATION</t>
  </si>
  <si>
    <t>ZTE</t>
  </si>
  <si>
    <t>LIU; Yang; (Shenzhen, CN); GAO; Yin; (Shenzhen, CN); HUANG; He; (Shenzhen, CN); YANG; Li; (Shenzhen, CN)</t>
  </si>
  <si>
    <t>H04W 88/085 20130101;  H04W 76/11 20180201;  H04W 88/02 20130101;  H04W 76/15 20180201;  H04W 76/18 20180201;  H04W 72/04 20130101;  H04W 8/245 20130101;  H04W 88/08 20130101;  H04W 76/12 20180201</t>
  </si>
  <si>
    <t>Provided are a connection method, a configuration updating method, a     control plane device and a user plane device. The method includes:     transmitting, by a control plane device, a first request message for     establishing a connection to a user plane device, where the first request     message for establishing the connection includes information about the     control plane device; and transmitting, by the user plane device, a first     response message indicating that the connection is successfully     established or a first response message indicating that the connection     fails to be established to the control plane device, where the first     response message indicating that the connection is successfully     established includes information about the user plane device, and the     first response message indicating that the connection fails to be     established includes the information about the user plane device and a     reason why the connection fails to be established. Further provided is a     storage medium.</t>
  </si>
  <si>
    <t>US20210307173</t>
  </si>
  <si>
    <t>Component Carrier With a Dielectric Element Placed in a Cavity and a     Manufacturing Method</t>
  </si>
  <si>
    <t>17/249750</t>
  </si>
  <si>
    <t>AT &amp; S AUSTRIA TECHNOLOGIE &amp; SYSTEMTECHNIK AKTIENGESELLSCHAFT</t>
  </si>
  <si>
    <t>ATS AUSTRIA TECHNOLOGIESYSTEMTECHNIK AKTIENGESELLSCHAFT</t>
  </si>
  <si>
    <t>Lenhardt; Patrick; (Spielberg, AT); Sattler; Sebastian Wolfgang; (Graz, AT)</t>
  </si>
  <si>
    <t>H05K 1/185 20130101;  H05K 1/183 20130101;  H05K 2201/10098 20130101;  H05K 1/0222 20130101;  H05K 2201/0183 20130101;  H05K 3/4697 20130101</t>
  </si>
  <si>
    <t>A component carrier including: i) a layer stack with at least one     electrically insulating layer structure and at least one electrically     conductive layer structure, ii) a cavity formed in the layer stack, iii)     a dielectric element at least partially placed in the cavity, wherein the     dielectric element and the layer stack are electromagnetically     couple-able, and iv) an electrically insulating connection material     between the dielectric element and the layer stack.</t>
  </si>
  <si>
    <t>US20210306807</t>
  </si>
  <si>
    <t>Voice and Radio; GPS</t>
  </si>
  <si>
    <t>GPS; Voice &amp; Radio</t>
  </si>
  <si>
    <t>Real-Time Location and Alert System</t>
  </si>
  <si>
    <t>17/214611</t>
  </si>
  <si>
    <t>TRAKID LLC</t>
  </si>
  <si>
    <t>TRAKID</t>
  </si>
  <si>
    <t>Kashani-Nejad; Arya Brandon; (Cary, NC); Yauch; Steven S.; (Cary, NC); Penix; Zachry A.; (Cary, NC); McCraw; Robert A.; (Cary, NC)</t>
  </si>
  <si>
    <t>H04W 4/029 20180201;  G08B 7/06 20130101</t>
  </si>
  <si>
    <t>A device, method, and system for providing real-time location and alerts,     and more specifically to devices, methods, and systems for providing     real-time tracking of individuals and items within a predetermined area.     At least one tracking device is connected to at least one user device and     at least one remote server. The at least one tracking device provides     real-time location updates to the at least one user device and the at     least one remote server. The at least one tracking device is also     operable to provide transactional and personal information to the at     least one remote server.</t>
  </si>
  <si>
    <t>US20210306801</t>
  </si>
  <si>
    <t>GPS</t>
  </si>
  <si>
    <t>SYSTEM AND METHOD OF CALIBRATION FOR ESTABLISHING REAL-TIME LOCATION</t>
  </si>
  <si>
    <t>17/345599</t>
  </si>
  <si>
    <t>Denso</t>
  </si>
  <si>
    <t>DENSO</t>
  </si>
  <si>
    <t>Smith; Eric J.; (Holland, MI); Stitt; R. Michael; (Ada, MI); Jager; Karl; (Zeeland, MI)</t>
  </si>
  <si>
    <t>H04B 17/318 20150115;  H04B 17/21 20150115;  H04W 4/026 20130101;  H04W 4/40 20180201;  B60R 2325/20 20130101;  B60R 25/245 20130101</t>
  </si>
  <si>
    <t>A system and method are provided for obtaining calibration data for a     portable device relative to an object in order to facilitate defining a     locator for determining a location of the portable device relative to the     object. The system and method may obtain calibration data pertaining to a     signal characteristic of communications transmitted from the portable     device and corresponding to a known location of the portable device     (e.g., truth data).</t>
  </si>
  <si>
    <t>US20210306068</t>
  </si>
  <si>
    <t>Vehicle</t>
  </si>
  <si>
    <t>WIDEBAND STREAMING L-BAND (WISL) METHODS AND SYSTEMS</t>
  </si>
  <si>
    <t>17/347489</t>
  </si>
  <si>
    <t>SATCOM DIRECT, INC.</t>
  </si>
  <si>
    <t>SATCOM DIRECT</t>
  </si>
  <si>
    <t>GOMEZ; RODRIGO; (McLean, VA); KNOWLES; TIMOTHY W.; (Front Royal, VA); VUONG; BEN T.; (Vienna, VA); THORBRO-STEENBERG; LASSE; (Windermere, FL)</t>
  </si>
  <si>
    <t>H04B 7/18508 20130101;  H04L 65/4069 20130101</t>
  </si>
  <si>
    <t>A network management systems (NMS) and methods for automating aircraft     wideband streaming L band providing dedicated high data rate     communication links from an aircraft fitted with an approved L-band     terminal and antenna over a satellite communication network, such as the     Inmarsat Swift Broadband network. The systems and methods allow for     modifying the L-band terminal wiring to inject a dedicated single channel     per carrier (SCPC) signal from an external modem to achieve return data     rates in the range of several Mbps over a dedicated leased satellite     bandwidth.</t>
  </si>
  <si>
    <t>US20210306050</t>
  </si>
  <si>
    <t>MULTI-BAND BEAM CODEBOOK DESIGN AND OPERATIONS</t>
  </si>
  <si>
    <t>17/304010</t>
  </si>
  <si>
    <t>SAMSUNG DISPLAY CO., LTD.,</t>
  </si>
  <si>
    <t>SAMSUNG DISPLAY</t>
  </si>
  <si>
    <t>Mo; Jianhua; (Allen, TX); Ng; Boon Loong; (Plano, TX); Rahman; Md. Saifur; (Plano, TX)</t>
  </si>
  <si>
    <t>H04B 7/0639 20130101;  H04W 72/042 20130101;  H04B 7/0626 20130101;  H04L 5/0057 20130101;  H04L 5/0023 20130101;  H04L 5/0048 20130101</t>
  </si>
  <si>
    <t>An electronic device and method for managing an antenna operating in a     combination of frequency bands. The electronic device comprises at least     one antenna including a plurality of antenna elements, a transceiver     operably connected with the at least one antenna and configured for     communication over multiple frequency parts. The electronic device also     comprises a processor operably connected to the transceiver, the     processor configured to determine the multiple frequency parts; identify,     from a configuration received in response to the multiple frequency parts     reported in the PUCCH, a combination of one or more frequency parts from     the multiple frequency parts for performing the communication; obtain a     beamforming codebook; and apply one or more beams within the beamforming     codebook for performing the communication.</t>
  </si>
  <si>
    <t>US20210303170</t>
  </si>
  <si>
    <t>DATA MIGRATION OF STORAGE SYSTEM</t>
  </si>
  <si>
    <t>16/888818</t>
  </si>
  <si>
    <t>Dell EMC</t>
  </si>
  <si>
    <t>DELL EMC</t>
  </si>
  <si>
    <t>Lin; Chao; (Chengdu, CN); Zhang; Yuting; (Chengdu, CN); Cheng; Qianyun; (Chengdu, CN)</t>
  </si>
  <si>
    <t>G06F 3/067 20130101;  G06F 3/0641 20130101;  G06F 3/0608 20130101;  G06F 3/0647 20130101</t>
  </si>
  <si>
    <t>Embodiments of the present disclosure provide a storage management     method, an electronic device, and a computer program product. The method     includes determining at least one count corresponding to at least one     data segment of a file in a file set, the file set being stored in a     local storage device, and the at least one count indicating the number of     occurrences of the at least one data segment in the file set. The method     further includes determining a deduplication ratio of the file based on     the at least one count, the deduplication ratio indicating an overlapping     level of the file with other files in the file set. The method further     includes migrating the file from the local storage device to a remote     storage device according to a determination that the deduplication ratio     of the file is lower than a threshold.</t>
  </si>
  <si>
    <t>US20210298067</t>
  </si>
  <si>
    <t>Channel Access Configuration</t>
  </si>
  <si>
    <t>17/340252</t>
  </si>
  <si>
    <t>Ericsson</t>
  </si>
  <si>
    <t>ERICSSON</t>
  </si>
  <si>
    <t>Mukherjee; Amitav; (Fremont, CA); Cheng; Jung-Fu; (Fremont, CA); Falahati; Sorour; (Stockholm, SE); Falconetti; Laetitia; (Aachen, DE); Koorapaty; Havish; (Saratoga, CA); Larsson; Daniel; (Lund, SE)</t>
  </si>
  <si>
    <t>H04W 74/0808 20130101;  H04W 74/006 20130101;  H04W 74/04 20130101;  H04W 74/004 20130101;  H04W 74/02 20130101</t>
  </si>
  <si>
    <t>Embodiments herein relate to a method performed by a scheduling node for     scheduling an uplink transmission from a wireless device to the     scheduling node, which wireless device is connected to a Primary Cell,     Pcell, of the scheduling node in a licensed or unlicensed frequency band,     and wherein the wireless device is also connected to at least one     Secondary Cell, SCell, in an unlicensed frequency band. The scheduling     node determines at least one Listen Before Talk, LBT, parameter     associated with an LBT procedure and informs the wireless device about     the determined at least one LBT parameter in a scheduling grant of the     uplink transmission.</t>
  </si>
  <si>
    <t>US20210297979</t>
  </si>
  <si>
    <t>METHODS AND APPARATUS FOR DEVICE REGISTRATION IN A QUASI-LICENSED WIRELESS     SYSTEM</t>
  </si>
  <si>
    <t>17/334343</t>
  </si>
  <si>
    <t>Wells Fargo Bank, N.A.</t>
  </si>
  <si>
    <t>WELLS FARGO</t>
  </si>
  <si>
    <t>Hmimy; Hossam; (Aurora, CO); Kakinada; Umamaheswar; (Carpentersville, IL); Singh; Lakhbir; (St. Louis, MO); Hassanien; Akram; (St. Louis, MO)</t>
  </si>
  <si>
    <t>H04W 16/14 20130101;  H04W 60/00 20130101;  H04W 12/06 20130101;  H04W 72/14 20130101</t>
  </si>
  <si>
    <t>Apparatus and methods for registering and authenticating a client device     with a wireless-enabled network. In one embodiment, the apparatus and     methods provide an alternate wireless connectivity link to register an     installed high-power fixed wireless apparatus (FWA) or Customer Premises     Equipment (CPE) with a managed wireless network infrastructure, such as     one utilizing "quasi-licensed" CBRS (Citizens Broadband Radio Service)     wireless spectrum or another shared access approach. In one variant, the     alternate wireless link comprises a mobile cellular channel established     via an application program executing on a mobile device. In another     variant, an Internet of Thing Network (IoT) is used for the alternate     link. In one implementation, spectrum grants are communicated back the     FWA/CPE via the alternate link to enable subsequent CBRS-band high-power     operation.</t>
  </si>
  <si>
    <t>US20210297904</t>
  </si>
  <si>
    <t>METHOD AND APPARATUS FOR MANAGING DATA SESSION IN WIRELESS COMMUNICATION     SYSTEM</t>
  </si>
  <si>
    <t>17/205938</t>
  </si>
  <si>
    <t>WATFA; Mahmoud; (Staines, GB)</t>
  </si>
  <si>
    <t>H04W 12/033 20210101;  H04W 12/10 20130101;  H04W 28/24 20130101;  H04W 28/0268 20130101</t>
  </si>
  <si>
    <t>A method performed by a user equipment (UE) in a wireless communication     system is provided. The method may include: receiving, from a network     entity, information associated with one or more quality of service (QoS)     rules; checking the information associated with the one or more QoS     rules, for a QoS rule associated with a non-default QoS rule and for the     QoS rule with a rule operation different from deleting the QoS rule; in     case that the UE is in a narrow band (NB)-N1 mode, the QoS rule is     associated with the non-default QoS rule and the rule operation is     different from deleting the QoS rule, detecting the QoS rule as an error;     and transmitting, to the network entity, a protocol data unit (PDU)     session modification request message to delete the detected QoS rule.</t>
  </si>
  <si>
    <t>US20210296759</t>
  </si>
  <si>
    <t>ELECTRONIC DEVICE INCLUDING 5G ANTENNA MODULE</t>
  </si>
  <si>
    <t>17/341900</t>
  </si>
  <si>
    <t>KIM; Jaehyung; (Suwon-si, KR); BANG; Jinkyu; (Suwon-si, KR); LEE; Hanbin; (Suwon-si, KR); HAN; Sangmin; (Suwon-si, KR); CHUN; Jaebong; (Suwon-si, KR)</t>
  </si>
  <si>
    <t>H01Q 1/2283 20130101;  H01Q 1/38 20130101;  H01Q 5/25 20150115;  H01Q 1/2266 20130101;  H01Q 21/08 20130101;  H01Q 21/065 20130101;  H01Q 1/243 20130101;  H01Q 7/00 20130101;  H01Q 21/28 20130101;  H01Q 5/42 20150115;  H01Q 9/0407 20130101;  H01Q 1/2291 20130101</t>
  </si>
  <si>
    <t>An electronic device including an antenna module is provided. The     electronic device includes a 5th generation (5G) antenna module that     includes an antenna array, at least one conductive region operating as a     ground with respect to the antenna array, and a first communication     circuit feeding a power to the antenna array to communicate through a     millimeter wave signal, and a printed circuit board (PCB) that includes a     second communication circuit and a ground region. The second     communication circuit feeds the power to an electrical path at least     including the at least one conductive region and transmits or receives a     signal in a frequency band different from a frequency band of the     millimeter wave signal based on the electrical path supplied with the     power and the ground region.</t>
  </si>
  <si>
    <t>US20210296758</t>
  </si>
  <si>
    <t>ELECTRONIC DEVICE INCLUDING ANTENNAS</t>
  </si>
  <si>
    <t>16/931359</t>
  </si>
  <si>
    <t>LG Electronics</t>
  </si>
  <si>
    <t>LG ELECTRONICS</t>
  </si>
  <si>
    <t>KIM; Dongjin; (Seoul, KR); KWON; Youngbae; (Seoul, KR); JUNG; Byungwoon; (Seoul, KR); HA; Jihun; (Seoul, KR)</t>
  </si>
  <si>
    <t>H04W 88/06 20130101;  H04B 7/0413 20130101;  H01Q 5/307 20150115;  H01Q 1/243 20130101;  H04B 1/38 20130101</t>
  </si>
  <si>
    <t>An electronic device having antennas according to an implementation is     provided. The electronic device may include a first antenna disposed on a     rim thereof and configured to receive a first signal that is a Long-Term     Evolution (LTE) signal or a New Radio (NR) signal of a first band, a     second antenna disposed to be spaced apart from the first antenna by a     predetermined interval, and configured to receive a second signal that is     an LTE or NR signal of a second band higher than the first band, and a     transceiver circuit operably coupled to the first antenna and the second     antenna. In one implementation, the electronic device may include a     baseband processor configured to control the transceiver circuit to     receive the first signal through the first antenna and the second signal     through the second antenna.</t>
  </si>
  <si>
    <t>US20210289551</t>
  </si>
  <si>
    <t>RECONFIGURATION OF LISTEN-AFTER-TALK PROCEDURE</t>
  </si>
  <si>
    <t>16/487692</t>
  </si>
  <si>
    <t>Ansari; Junaid; (FURTH, DE); Li; Gen; (BEIJING, CN)</t>
  </si>
  <si>
    <t>H04W 16/14 20130101;  H04B 7/0697 20130101;  H04W 74/0808 20130101;  H04W 74/0816 20130101;  H04L 1/1896 20130101;  H04W 74/008 20130101</t>
  </si>
  <si>
    <t>Methods and apparatuses are provided for controlling a listen-after-talk     (LAT) procedure in a wireless communication network comprising at least a     source node (SN) and a destination node (DN). Such methods or apparatuses     may obtain information indicating an operational context of the LAT     procedure, adapt at least one parameter of the LAT procedure according to     the obtained information, and control at least the SN or the DN to     communicate according to the LAT procedure having the adapted at least     one parameter.</t>
  </si>
  <si>
    <t>US20210274068</t>
  </si>
  <si>
    <t>WIRELESS BRIDGE TO LOCAL DEVICES ON PERSONAL EQUIPMENT SYSTEM</t>
  </si>
  <si>
    <t>17/070780</t>
  </si>
  <si>
    <t>KNOBBE, MARTENS, OLSON &amp; BEAR, LLP</t>
  </si>
  <si>
    <t>KNOBBE MARTENS</t>
  </si>
  <si>
    <t>Masarik; David Michael; (Irvine, CA); Masarik; Matthew James; (Irvine, CA)</t>
  </si>
  <si>
    <t>H04B 2001/3866 20130101;  H04B 10/40 20130101;  G02B 27/017 20130101;  H04B 10/11 20130101;  H04B 10/803 20130101;  H04N 7/185 20130101;  H04N 5/33 20130101;  H04B 10/1143 20130101;  H04B 10/2575 20130101;  H04B 1/385 20130101;  H04B 10/25 20130101;  H04B 10/25891 20200501;  H04N 5/2252 20130101;  H04N 5/2253 20130101;  H04B 10/114 20130101</t>
  </si>
  <si>
    <t>Some embodiments are provided for providing a wireless bridge to local     devices on personal equipment systems. Personal equipment systems can     include wireless communication systems that allow external systems,     users, or both to communicate with and access data from local devices on     the personal equipment systems. Personal equipment systems are provided     having one or more local devices coupled thereto and in wired     communication with one another. Personal equipment systems can include a     wireless system and local devices attached to a headgear system, the     local devices being in wired communication with one another and in     wireless communication with external systems. The wireless communication     system is configured to establish a wireless connection with external     systems for communicating with and accessing local devices that are in     wired communication with each other.</t>
  </si>
  <si>
    <t>US20210243072</t>
  </si>
  <si>
    <t>MULTIPLE COMMUNICATION MODES AND NETWORK SERVICES IN A SELF-CONTAINED UNIT</t>
  </si>
  <si>
    <t>17/092548</t>
  </si>
  <si>
    <t>FENIX GROUP, INC.</t>
  </si>
  <si>
    <t>FENIX</t>
  </si>
  <si>
    <t>Peterson; David; (Haymarket, VA); Schaner; Stefan; (Ashburn, VA); Thompson; Taylor; (Chantilly, VA); Coxwell; Bryan; (Chantilly, VA); Hoogland; Aaron; (Centerville, VA)</t>
  </si>
  <si>
    <t>H04W 84/18 20130101;  H04W 36/14 20130101;  H04W 84/042 20130101;  H04L 49/351 20130101;  H04W 36/305 20180801;  H04B 1/3883 20130101;  H04L 41/0668 20130101</t>
  </si>
  <si>
    <t>Disclosed are systems and methods for a self-contained multi-modal     communication system. The multi-modal communication system comprises a     first mobile telecommunication node, which provides a private     telecommunication network, a layer 2 (L2) backhaul wireless transceiver,     an ethernet switch and an embedded edge cloud compute device. The edge     cloud compute device includes an automatic failover detection system,     wherein the automatic failover detection system receives as input a     plurality of network parameters and automatically performs failover and     communication modality switching for one or more communication devices     associated with the self-contained multi-modal communication system.</t>
  </si>
  <si>
    <t>US20210239431</t>
  </si>
  <si>
    <t>PERSONAL TACTICAL SYSTEM WITH INTEGRATED BALLISTIC FRAME</t>
  </si>
  <si>
    <t>17/148015</t>
  </si>
  <si>
    <t>TYR TACTICAL, LLC</t>
  </si>
  <si>
    <t>TYR TACTICAL</t>
  </si>
  <si>
    <t>Beck; Jason; (Peoria, AZ)</t>
  </si>
  <si>
    <t>A41D 1/04 20130101;  F41H 1/02 20130101;  F41H 5/013 20130101;  F41H 5/0478 20130101;  F41H 5/0485 20130101</t>
  </si>
  <si>
    <t>Implementations described and claimed herein provide a personal tactical     system configured to be worn by an individual for protection against     threats. In one implementation, the personal tactical system includes one     or more internal components disposed in an interior formed by an outer     layer and an inner layer. The internal components include a flexible body     armor, a ballistic plate, a ballistic frame, and/or a ballistic plate     cover. The ballistic frame further includes an electrical system coupled     to the frame body, the electrical system including one or more ports in     communication with at least one of electrical or communication lines.</t>
  </si>
  <si>
    <t>US20210234576</t>
  </si>
  <si>
    <t>MODULAR DEVICE FOR WIRELESS INTER-NETWORKING</t>
  </si>
  <si>
    <t>17/177562</t>
  </si>
  <si>
    <t>ASSURED WIRELESS CORPORATION</t>
  </si>
  <si>
    <t>ASSURED WIRELESS</t>
  </si>
  <si>
    <t>Bilotta; Thomas R.; (San Diego, CA); Lin; Edward C.; (San Diego, CA); Morley; Steven A.; (San Diego, CA); LaRose; Robert E.; (San Diego, CA)</t>
  </si>
  <si>
    <t>H04B 7/0825 20130101;  H04W 88/06 20130101;  H04W 92/02 20130101;  H04W 84/12 20130101;  H04W 88/04 20130101;  H04B 7/0413 20130101;  H04L 5/14 20130101;  H04W 84/042 20130101;  H04W 16/14 20130101;  H04W 16/26 20130101</t>
  </si>
  <si>
    <t>Aspects of the present disclosure generally pertains a system and method     for wireless inter-networking between a wireless wide area network (WWAN)     and a wireless local area network (WLAN) employing one or more extended     range wireless inter-networking devices. Aspects of the present     disclosure more specifically are directed toward a high powered wireless     interconnect device that includes high efficiency circuitry to make it     possible to implement in a portable or in-vehicle form factor, which may     provide reasonable battery life, size, weight, and thermal dissipation.</t>
  </si>
  <si>
    <t>US20210216131</t>
  </si>
  <si>
    <t>DEVICE POWER SAVINGS AND EXTENDED TELEMTRY MESSAGING</t>
  </si>
  <si>
    <t>16/740873</t>
  </si>
  <si>
    <t>CHARTER COMMUNICATIONS OPERATING, LLC</t>
  </si>
  <si>
    <t>CHARTER COMMUNICATIONS</t>
  </si>
  <si>
    <t>Ovadia; Shlomo; (Denver, CO); Kloberdans; Michael J.; (Brighton, CO)</t>
  </si>
  <si>
    <t>H04W 52/0261 20130101;  G06F 1/329 20130101;  G06F 1/3206 20130101;  G06F 1/3246 20130101;  H02J 9/06 20130101;  H04M 19/08 20130101</t>
  </si>
  <si>
    <t>This disclosure introduces a novel device-initiated power saving scheme     that enables the device (such as a ONU or other suitable entity) to     achieve efficiencies during power emergencies and enables new     communication features with a communication management resource (such as     an OLT or other suitable entity) and the monitoring of systems deep in a     service provider's network. Additionally, the new power saving techniques     as described herein are fully compatible with existing operational power     saving methods. Further, new messages supporting telemetry data can be     used to plan back office support expansion needs, identify subscribers     that are eligible for enhanced service offers and other uses. Finally,     this disclosure includes new telemetry messaging techniques to provide     novel notification of a system status.</t>
  </si>
  <si>
    <t>US20210185144</t>
  </si>
  <si>
    <t>WI-FI</t>
  </si>
  <si>
    <t>SYSTEM AND APPARATUS FOR IMPLEMENTING A HIGH SPEED LINK BETWEEN A MOBILE     CACHE AND AN EDGE CACHE</t>
  </si>
  <si>
    <t>17/164404</t>
  </si>
  <si>
    <t>NETSKRT SYSTEMS, INC.</t>
  </si>
  <si>
    <t>NETSKRT SYSTEMS</t>
  </si>
  <si>
    <t>LUFT; Siegfried; (Vancouver, CA)</t>
  </si>
  <si>
    <t>H04W 84/12 20130101;  H04W 76/10 20180201;  H04L 67/2857 20130101;  H04L 67/2852 20130101;  H04W 4/40 20180201;  H04L 67/2842 20130101;  H04L 67/2847 20130101</t>
  </si>
  <si>
    <t>A system and method for implementing a high speed link between a mobile     cache and an edge cache. For example, one embodiment of a system     comprises: a mobile cache deployed on a vessel/vehicle, the mobile cache     to store multimedia content to be provided to passengers on the     vessel/vehicle; a first network device including a first plurality of     wireless network antennas communicatively coupled to the mobile cache; an     edge cache deployed at a designated location at which the vessel/vehicle     is expected; a second network device including a second plurality of     wireless network antennas communicatively coupled to the edge cache;     wherein upon arrival at the designated location, each of the first     plurality of wireless network antennas is paired with at least one of the     second plurality of wireless network antennas to establish a plurality of     simultaneous wireless links to exchange multimedia content between the     edge cache and the mobile cache.</t>
  </si>
  <si>
    <t>US20210176822</t>
  </si>
  <si>
    <t>MESH NETWORK DEPLOYMENT KIT</t>
  </si>
  <si>
    <t>17/074594</t>
  </si>
  <si>
    <t>goTenna Inc.</t>
  </si>
  <si>
    <t>GOTENNA</t>
  </si>
  <si>
    <t>Perdomo; Jorge; (New York, NY)</t>
  </si>
  <si>
    <t>H04W 16/20 20130101;  H04W 84/18 20130101;  G06F 8/61 20130101;  G06F 8/65 20130101;  H04W 84/12 20130101;  H04L 41/0809 20130101;  H04W 88/08 20130101</t>
  </si>
  <si>
    <t>A local software deployment system, comprising a server, configured to:     provide an access point for a wireless network; redirect an incoming     request to a web page selectively customized based on characteristics of     the requestor; present an option, through the wireless network, on the     customized web page, to a device connected to the server through the     wireless network, to download a file from the server, selectively     dependent on the customized web page; and download the file from the     server.</t>
  </si>
  <si>
    <t>US20210176709</t>
  </si>
  <si>
    <t>RADIO FREQUENCY (RF) POWER DETECTOR FOR ANTENNA MODE DETECTION</t>
  </si>
  <si>
    <t>17/158371</t>
  </si>
  <si>
    <t>PPIP LLC</t>
  </si>
  <si>
    <t>PPIP</t>
  </si>
  <si>
    <t>Fong; Michael; (Chandler, AZ); Fong; Neric Hsin-wu; (Tempe, AZ); Thomas; Teddy David; (Bedford, NH)</t>
  </si>
  <si>
    <t>H04W 4/80 20180201;  H04W 24/08 20130101;  H04B 17/318 20150115;  H04W 52/0251 20130101;  H04M 1/72463 20210101</t>
  </si>
  <si>
    <t>In accordance with some embodiments, an apparatus for privacy protection     includes a housing arranged to hold a second device, a local     communication device at least partially supported by the housing, and a     controller, where the apparatus is associated with a radio frequency (RF)     power detector. The RF power detector monitors energy emitted from one or     more antennas of the second device in response to determining that the     second device indicates that the second device has transitioned from a     first mode of operation to a second mode of operation. The apparatus     further establishes a communication channel between the apparatus and the     second device, and obtains, through the communication channel, a     communication status of the second device. The apparatus can then report     compromise of the second device upon determining that a discrepancy     between the communication status and the energy emission.</t>
  </si>
  <si>
    <t>US20210175634</t>
  </si>
  <si>
    <t>METHOD FOR RESTORING RADIO COVERAGE</t>
  </si>
  <si>
    <t>17/180807</t>
  </si>
  <si>
    <t>SCHEUCHER KARL F</t>
  </si>
  <si>
    <t>SCHEUCHER KARL</t>
  </si>
  <si>
    <t>SCHEUCHER; KARL F.; (WAITE HILL, OH)</t>
  </si>
  <si>
    <t>H01Q 19/30 20130101;  H01Q 9/30 20130101</t>
  </si>
  <si>
    <t>An In-Building Communications system is disclosed which permits     communication in tunnels, underground parking garages, tall buildings     such as skyscrapers, buildings having thick walls of concrete or metal,     and/or any building which has communication dead zones due to     electromagnetic shielding. The invention includes a portable     bi-directional amplifier (BDA) system, an outdoor antenna system attached     to the building or independently mountable, an indoor antenna system     attached to the building or independently mountable inside the building,     and a standardized, In-Building Communications (IBC) interface box     affixed preferably to the exterior of the building. The interface box     communicates with antenna systems attached to the building. The fire     department or other emergency response personnel carry portable outdoor     and indoor antenna systems and a portable, lithium-ion battery powered,     bi-directional amplifier (BDA) system which may be connected to the     building during an event such as a fire, earthquake, or an act of     terrorism or whenever radio coverage enhancement is required. The     portable BDA system is simply connected to the standardized, IBC     interface box and powered thus restoring communications within.</t>
  </si>
  <si>
    <t>US20210169203</t>
  </si>
  <si>
    <t>SHOULDER BAG WITH INTEGRATED USB CHARGER</t>
  </si>
  <si>
    <t>17/109917</t>
  </si>
  <si>
    <t>MAGNOGRIP INC.</t>
  </si>
  <si>
    <t>MAGNOGRIP</t>
  </si>
  <si>
    <t>Woolery; Andre A.; (Miami, FL)</t>
  </si>
  <si>
    <t>A45F 3/04 20130101;  H02J 7/0045 20130101;  A45F 2003/003 20130101;  H02J 7/35 20130101</t>
  </si>
  <si>
    <t>A bag comprises a body comprising an interior accessible from one or more     of a top side a bottom side, a right side and a left side. One or more     shoulder straps coupled to the body enable a user to carry the bag and     its contents. A USB charging port integrated into one of the one or more     shoulder straps is used to charge an electronic device while carrying the     bag and using the one or more shoulder straps. The electronic device is     able to be charged by a power bank connected to the USB charging port     through a USB cable. In some embodiments, the one or more shoulder straps     are removable from the shoulder bag.</t>
  </si>
  <si>
    <t>US20210143667</t>
  </si>
  <si>
    <t>Sheath for Convenient Charging</t>
  </si>
  <si>
    <t>17/151741</t>
  </si>
  <si>
    <t>ZHIJIAN LI</t>
  </si>
  <si>
    <t>ZHIJIAN</t>
  </si>
  <si>
    <t>Zhijian; Li; (Fujian, CN)</t>
  </si>
  <si>
    <t>H02J 7/00 20130101;  H02J 7/342 20200101;  H02J 7/0042 20130101</t>
  </si>
  <si>
    <t>A sheath attached to a body having a raised portion and a surrounding     bottom portion, the raised portion has a first closed end, a second open     end and the surrounding bottom portion surrounds at least a portion of     the raised portion which extends above an outer surface of a body which     has an inner surface, an outer surface and a fourth opening between the     inner and outer surface, the raised portion receives a female connector     having an operative end, a cord end and a cord; the operative end is     retained in the second open end of the raised portion and the cord end of     the female connector is retained in the first closed end of the raised     portion to provide the female connector in a flat position with the     operative end being operable and above the outer surface of the body, the     cord connects the female connector and a battery.</t>
  </si>
  <si>
    <t>US20210135491</t>
  </si>
  <si>
    <t>WEARABLE METABOLIC ELECTRICAL CHARGING APPARATUS</t>
  </si>
  <si>
    <t>17/086136</t>
  </si>
  <si>
    <t>HUNA LLC</t>
  </si>
  <si>
    <t>HUNA</t>
  </si>
  <si>
    <t>Dagher; Andrew; (Ocean Ridge, FL)</t>
  </si>
  <si>
    <t>G10L 15/22 20130101;  H02J 7/02 20130101;  H02J 50/001 20200101;  G10L 2015/223 20130101;  H02J 50/12 20160201;  H01L 35/32 20130101;  H02J 7/00034 20200101;  H02J 50/005 20200101;  H01L 35/30 20130101</t>
  </si>
  <si>
    <t>An apparatus for providing metabolically-generated electrical power to an     electronic device such as, for example, a mobile phone, tablet or other     device comprising a thermoelectric generator in electrical communication     with a generating induction coil for wirelessly inductively providing     power to the electronic device. In embodiments, the apparatus may be     housed within an enclosure adapted to receive the electronic device. In     an embodiment, the battery may be a mobile phone case. In an embodiment,     the apparatus may further comprise a rotary lens selection feature for     presenting optical lenses of varying powers to a camera of a mobile phone     or tablet. In embodiments, the thermo-electronic device may be a Peltier     module. A cell phone case of the invention may be adapted to receive a     cell phone and may comprise a Peltier module and a generating induction     coil that either powers the cell phone directly, or charges the cell     phone's battery.</t>
  </si>
  <si>
    <t>US20210119459</t>
  </si>
  <si>
    <t>Load-bearing Strap with an Inductive Charging System</t>
  </si>
  <si>
    <t>16/659367</t>
  </si>
  <si>
    <t>Inventor</t>
  </si>
  <si>
    <t/>
  </si>
  <si>
    <t>Vick; Aaron; (Madison, MS)</t>
  </si>
  <si>
    <t>A45F 3/02 20130101;  A45F 3/04 20130101;  A45F 2003/003 20130101;  H02J 7/025 20130101;  H02J 7/0045 20130101</t>
  </si>
  <si>
    <t>A load-bearing strap with an inductive charging system is an apparatus     that allows a user to charge a portable device, handsfree. The apparatus     includes at least one strap, at least one pocket, a plurality of     channels, and an inductive charging system. The inductive charging system     is safely housed within the at least one strap as the at least one strap     includes at least one charging chamber, a controller chamber, and a power     source chamber. The at least one strap connects a bag about a user and     houses the inductive charging system. The at least one pocket connects a     portable device with the at least one strap. The plurality of channels     connects the at least one charging chamber, the controller chamber, and     the power source chamber with each other. The inductive charging system     inductively charges a portable device with at least one set of coils, a     microcontroller, and a power source.</t>
  </si>
  <si>
    <t>US20210114616</t>
  </si>
  <si>
    <t>DEVICE, SYSTEM, AND METHOD OF WIRELESS MULTIPLE-LINK VEHICULAR     COMMUNICATION</t>
  </si>
  <si>
    <t>16/494295</t>
  </si>
  <si>
    <t>DRIVEU TECH LTD.</t>
  </si>
  <si>
    <t>DRIVEU TECH</t>
  </si>
  <si>
    <t>Altman; Baruch Yosef; (Pardes Hanna, IL)</t>
  </si>
  <si>
    <t>G01S 17/931 20200101;  G01C 21/3848 20200801;  B60W 2556/50 20200201;  H04W 36/00837 20180801;  H04W 76/15 20180201;  B60W 2420/42 20130101;  H04N 21/4402 20130101;  B60W 2420/52 20130101;  G01S 17/86 20200101;  H04N 21/4621 20130101;  H04N 21/6131 20130101;  B60W 60/0011 20200201;  G01C 21/3889 20200801;  H04N 21/41422 20130101;  H04N 21/6143 20130101;  G05D 1/0011 20130101;  G01C 21/3461 20130101;  H04N 21/43637 20130101</t>
  </si>
  <si>
    <t>Devices, system, and method of vehicular multiple-link wireless     communication. A vehicular communication bonding unit creates a bonded     wireless communication connection that transports data-packets of a     source data-stream from a remote server to a vehicular transceiver, by     transporting the data-packets over at least two wireless communication     links. The vehicular communication bonding unit utilizes a vehicular     cellular transceiver to receive a first batch of the data-packets over a     first cellular communication link that connects between the vehicular     cellular transceiver and the remote server. The vehicular communication     bonding unit further utilizes least one end-user device, of an occupant     of a vehicle, to receive a second batch of the data-packets of the     particular data-stream, over a second cellular communication link that     connects between the end-user device and the remote server.</t>
  </si>
  <si>
    <t>US20210111759</t>
  </si>
  <si>
    <t>SPATIALLY AWARE COMMUNICATIONS USING RADIO FREQUENCY (RF) COMMUNICATIONS     STANDARDS</t>
  </si>
  <si>
    <t>17/037088</t>
  </si>
  <si>
    <t>FREELINC TECHNOLOGIES INC.</t>
  </si>
  <si>
    <t>FREELINC</t>
  </si>
  <si>
    <t>Dobyns; Douglas Howard; (Orem, UT); Abrams; Michael Scott; (Sherborn, MA)</t>
  </si>
  <si>
    <t>H04L 63/0492 20130101;  H04W 4/06 20130101;  H05K 999/99 20130101;  H04W 84/18 20130101;  H04L 63/08 20130101;  H04W 64/003 20130101;  H04L 63/0428 20130101;  H04W 48/04 20130101;  H04W 4/021 20130101;  H04W 12/08 20130101;  H04W 4/80 20180201;  H04W 76/14 20180201;  H04W 12/63 20210101;  H04B 5/0075 20130101;  H04B 5/0031 20130101;  H04L 63/107 20130101;  G06Q 20/40 20130101;  H04W 84/12 20130101;  H04W 76/16 20180201;  H04W 48/16 20130101;  H04W 8/005 20130101</t>
  </si>
  <si>
    <t>Technology is described for proximity based communications. A proximity     boundary can be defined with dimensions defined, in part, by a     communication range of one of a first Short Range Communication (SRC)     device and a second SRC device. A security permission can be provided to     enable selected data to be communicated from one or more of the first SRC     device or the second SRC device. The selected data can be communicated     from one or more of the first SRC device or the second SRC device using a     radio frequency (RF) communication standard. An RF link can be     established between the first SRC device and the second SRC device to     enable selected data communications to continue between the first SRC     device and the second SRC device even after one or more of the first SRC     device or the second SRC device exits the proximity boundary.</t>
  </si>
  <si>
    <t>US20210106126</t>
  </si>
  <si>
    <t>Wearable Carrying System</t>
  </si>
  <si>
    <t>17/068411</t>
  </si>
  <si>
    <t>UBAVU, LLC</t>
  </si>
  <si>
    <t>UBAVU</t>
  </si>
  <si>
    <t>Gantz; Christopher; (Northbrook, IL); Knize; Russ; (St. Charles, IL)</t>
  </si>
  <si>
    <t>A45F 3/12 20130101;  A45F 3/02 20130101;  A45F 3/20 20130101;  A45F 3/14 20130101;  A45F 3/04 20130101;  A45F 2003/001 20130101</t>
  </si>
  <si>
    <t>A wearable carrying system for a container such as a backpack or a bag     has one or two straps that extend over the shoulder(s) and torso of a     user. The strap or straps include a bladder system that is sequentially     inflated or deflated by the controllable introduction and removal of a     fluid into and out of the bladder system. A shoulder pad is located on a     portion of the strap, the shoulder pad having an additional controllable     bladder system to adjust the load bearing position of a strap on the     shoulder of a user.</t>
  </si>
  <si>
    <t>US20210098833</t>
  </si>
  <si>
    <t>MODULAR REMOTE BATTERY PACK</t>
  </si>
  <si>
    <t>17/021353</t>
  </si>
  <si>
    <t>POWER.GLOBAL, PBC</t>
  </si>
  <si>
    <t>POGLOBAL PBC</t>
  </si>
  <si>
    <t>Harris; W. Porter; (Pasadena, CA)</t>
  </si>
  <si>
    <t>H01M 2010/4278 20130101;  H01M 10/482 20130101;  H02J 7/0016 20130101;  H01M 10/0525 20130101;  H02J 7/00032 20200101;  H01M 10/4257 20130101;  H02J 7/0029 20130101;  H02J 7/0047 20130101</t>
  </si>
  <si>
    <t>Modular battery pack can have lithium-ion based battery cells and a     wireless transmitter and receiver. The modular battery pack is configured     to communicate with other modular battery packs. The modular battery     packs are configured to connect as nodes that form a mesh communication     network to provide a redundant communication path to a remote system from     any of the modular battery packs. The remote system can gather data from     each of the modular battery packs through the network and communicate     with a remote system. Other aspects are described.</t>
  </si>
  <si>
    <t>US20210066927</t>
  </si>
  <si>
    <t>POWER MANAGERS AND METHODS FOR OPERATING POWER MANAGERS</t>
  </si>
  <si>
    <t>16/406750</t>
  </si>
  <si>
    <t>GALVION SOLDIER POWER, LLC</t>
  </si>
  <si>
    <t>GALVION SOLDIER POWER</t>
  </si>
  <si>
    <t>Robinson; Philip T.; (Harvard, MA); Dziengeleski; Seth M.; (Southbridge, MA); Kazmierczak; James D.; (Marlborough, MA); Holigan; David J.; (Atkinson, NH)</t>
  </si>
  <si>
    <t>H02M 7/04 20130101;  H02J 7/00045 20200101;  H02M 5/04 20130101;  G06F 1/3287 20130101;  H02J 7/0068 20130101;  H02M 3/04 20130101;  Y02D 10/00 20180101;  H02J 5/00 20130101;  H02J 7/0021 20130101;  H02J 7/0027 20130101;  G06F 13/4022 20130101;  H02J 7/00036 20200101;  G06F 1/266 20130101;  H02J 1/00 20130101;  G06F 1/263 20130101;  H02J 4/00 20130101</t>
  </si>
  <si>
    <t>Various aspects of invention provide portable power manager operating     methods. One aspect of the invention provides a method for operating a     power manager having a plurality of device ports for connecting with     external power devices and a power bus for connecting with each device     port. The method includes: disconnecting each device port from the power     bus when no external power device is connected to the device port;     accessing information from newly connected external power devices;     determining if the newly connected external power devices can be     connected to the power bus without power conversion; if not, determining     if the newly connected external power devices can be connected to the     power bus over an available power converter; and if so, configuring the     available power converter for suitable power conversion.</t>
  </si>
  <si>
    <t>US20210021294</t>
  </si>
  <si>
    <t>SYSTEMS AND METHODS FOR DESIGNING AND POWERING WIRELESS COMMUNICATION MESH     NETWORK NODES</t>
  </si>
  <si>
    <t>16/931742</t>
  </si>
  <si>
    <t>L3VEL, LLC</t>
  </si>
  <si>
    <t>L3VEL</t>
  </si>
  <si>
    <t>Ross; Kevin; (Lehi, UT); Naim; Muhammad Ahsan; (South Jordan, UT)</t>
  </si>
  <si>
    <t>H04B 1/40 20130101;  H04W 84/18 20130101;  H02S 99/00 20130101</t>
  </si>
  <si>
    <t>Disclosed herein are systems and methods related to wireless     communication mesh network design, installation, and deployment. In one     aspect, a wireless communication node may be located at a building to     include one or more antenna mounts, one or more wireless communication     radios mounted on the one or more antenna mounts, and a portable power     supply coupled to each of the one or more wireless communication radios     via a respective cable, where the portable power supply is configured to     provide power to each of the one or more wireless communication radios.     In another aspect, a wireless communication node located at a building     may include a coaxial interface coupled to a power supply installed at     the building via a pre-existing cable for a satellite dish, where the     coaxial interface may receive power from the power supply via the     pre-existing cable and supply the received power to one or more wireless     communication radios</t>
  </si>
  <si>
    <t>US20210005850</t>
  </si>
  <si>
    <t>WEARABLE AND REPLACEABLE POUCH OR SKIN FOR HOLDING A PORTABLE BATTERY PACK</t>
  </si>
  <si>
    <t>17/018602</t>
  </si>
  <si>
    <t>LAT ENTERPRISES D/B/A MEDIPAK ENERGY SYSTEMS</t>
  </si>
  <si>
    <t>LAT D/B/A MEDIPAK ENERGY SYSTEMS</t>
  </si>
  <si>
    <t>Thiel; Laura; (Raleigh, NC); Urzi; Giancarlo; (Raleigh, NC); Cid; Carlos; (Raleigh, NC)</t>
  </si>
  <si>
    <t>A wearable pouch operable to hold at least one portable battery pack and     other power or communications equipment. The wearable pouch includes a     main body with a front side, a back side opposite the front side, at     least one sealable opening, and at least one opening for at least one     lead from the at least one portable battery pack secured within the     wearable pouch.</t>
  </si>
  <si>
    <t>US20200343493</t>
  </si>
  <si>
    <t>SYSTEM FOR SUPPLYING POWER TO A PORTABLE BATTERY USING AT LEAST ONE SOLAR     PANEL</t>
  </si>
  <si>
    <t>16/923742</t>
  </si>
  <si>
    <t>F02K 1/72 20130101;  A41D 13/015 20130101;  A41D 1/04 20130101;  A45C 13/10 20130101;  H01M 2220/30 20130101;  A41D 1/002 20130101;  F05D 2260/96 20130101;  H01M 2/1016 20130101;  H01M 2/1005 20130101;  H02S 40/38 20141201;  F02K 1/763 20130101</t>
  </si>
  <si>
    <t>A system for supplying power to a portable battery pack including a     battery enclosed by a wearable and replaceable pouch or skin using at     least one solar panel is disclosed, wherein the pouch or skin can be     provided in different colors and/or patterns. Further, the pouch or skin     can be MOLLE-compatible. The battery comprises a battery element housed     between a battery cover and a back plate, wherein the battery element,     battery cover, and back plate have a slight curvature or contour.     Further, the battery comprises flexible leads.</t>
  </si>
  <si>
    <t>US20200313610</t>
  </si>
  <si>
    <t>DUAL VOLTAGE SOLAR PANEL</t>
  </si>
  <si>
    <t>16/879346</t>
  </si>
  <si>
    <t>Thiel; Laura; (Raleigh, NC); Urzi; Giancarlo; (Raleigh, NC)</t>
  </si>
  <si>
    <t>H02S 40/38 20141201;  H02S 40/34 20141201;  H02S 10/40 20141201;  A41D 1/002 20130101</t>
  </si>
  <si>
    <t>Systems, methods, and apparatuses for supplying power to at least one     power consuming device using a solar panel. The solar panel includes at     least two solar modules, an output connector, and a cable. The at least     two solar modules are connected via a first electrical harness in a first     combination of parallel and/or series to provide a first output voltage     and via a second electrical harness in a second combination of parallel     and/or series to provide a second output voltage. The at least one power     consuming device is preferably a rechargeable battery.</t>
  </si>
  <si>
    <t>US20200296565</t>
  </si>
  <si>
    <t>SYSTEMS AND METHODS FOR EMERGENCY PREPAREDNESS</t>
  </si>
  <si>
    <t>16/817484</t>
  </si>
  <si>
    <t>THINK ANEW LLC</t>
  </si>
  <si>
    <t>THINK ANEW</t>
  </si>
  <si>
    <t>Glidewell; Donald; (Madison, MS)</t>
  </si>
  <si>
    <t>G16H 40/20 20180101;  H04W 4/90 20180201;  H04W 4/33 20180201;  G16H 10/60 20180101;  H04W 4/021 20130101</t>
  </si>
  <si>
    <t>A mobile response unit for disaster relief, the system including a router     configured to connect to one or more wireless network connections, a     transmitter configured to connect one or more user devices to the one or     more network connections, and a processing circuit including a processor     and memory, the memory having instructions stored thereon that, when     executed by the processor, cause the processing circuit to retrieve and     store one or more medical records from an external computing system, and     wherein the router combines the one or more wireless network connections     to form a high-bandwidth bonded failover connection.</t>
  </si>
  <si>
    <t>US20200288089</t>
  </si>
  <si>
    <t>PERSONAL TACTICAL SYSTEM AND NETWORK</t>
  </si>
  <si>
    <t>16/838615</t>
  </si>
  <si>
    <t>H02J 7/0042 20130101;  H04N 5/2252 20130101;  A41D 2300/33 20130101;  H02J 7/0029 20130101;  H01M 2220/30 20130101;  A41D 2300/32 20130101;  G08B 25/016 20130101;  H01M 2010/4271 20130101;  A41D 13/0012 20130101;  A41D 2300/324 20130101;  A41D 2400/48 20130101;  F41H 1/02 20130101;  A41D 2300/326 20130101;  H01M 2/1005 20130101;  H01M 2010/4278 20130101;  A41D 1/002 20130101;  H04N 7/185 20130101;  H01M 10/48 20130101;  H01M 2/0217 20130101;  H02J 7/342 20200101;  A41D 2300/322 20130101;  H01M 2/026 20130101;  H01M 2/0207 20130101;  A41D 27/201 20130101;  H01M 10/425 20130101;  A41D 1/04 20130101;  H04N 5/2253 20130101;  H01M 2/1022 20130101</t>
  </si>
  <si>
    <t>A personal tactical system including a ballistic load-bearing garment, a     pouch with one or more batteries enclosed in the pouch, an electronic     processor, a communication device, and at least one camera. The camera is     incorporated into or removably attachable to the load-bearing garment,     the pouch is removably attachable to the load-bearing garment and the one     or more batteries are operable to power the camera and communication     device. The processor runs image recognition software operable to     identify approaching objects and alert the user. A plurality of personal     tactical systems is operable to form an ad hoc network to share images     and other information for determining object direction, location, and     movement.</t>
  </si>
  <si>
    <t>US20200280622</t>
  </si>
  <si>
    <t>DATA COMMUNICATIONS BACKPACK</t>
  </si>
  <si>
    <t>16/877767</t>
  </si>
  <si>
    <t>PLUM LABORATORIES, LLC</t>
  </si>
  <si>
    <t>PLUM LABORATORIES</t>
  </si>
  <si>
    <t>Williams; Dawson Lee; (Springfield, TN)</t>
  </si>
  <si>
    <t>H04M 1/21 20130101;  A45F 3/04 20130101;  H04M 1/0249 20130101;  A45F 2003/003 20130101;  H04M 1/026 20130101;  H04M 2001/0204 20130101</t>
  </si>
  <si>
    <t>A data communications backpack apparatus is disclosed having a backpack     carrier. A power supply can be positioned in the backpack carrier. A     router device can be positioned in the backpack carrier, the router     device in electrical communication with the power supply. An antenna     array can be positioned in the backpack carrier, the antenna array in     electrical communication with the router device, the antenna array     including one or more cellular antennas and one or more wireless     networking antennas. The backpack carrier can include an upper opening     extending into a central storage area, a first side pocket, a second side     pocket, and a lower compartment positioned below the central storage     area. The power supply can be positioned in the first side pocket, the     router device can be positioned in the second side pocket, and the     antenna array can be positioned in the lower compartment.</t>
  </si>
  <si>
    <t>US20200280349</t>
  </si>
  <si>
    <t>DEVICE FOR WIRELESS INTER-NETWORKING</t>
  </si>
  <si>
    <t>16/877421</t>
  </si>
  <si>
    <t>H04W 88/06 20130101;  H04W 92/02 20130101;  H04W 16/14 20130101;  H04W 16/26 20130101;  H04W 88/04 20130101;  H04W 84/042 20130101;  H04B 7/0825 20130101;  H04L 5/14 20130101;  H04B 7/0413 20130101;  H04W 84/12 20130101</t>
  </si>
  <si>
    <t>Aspects of the present disclosure generally pertains a system and method     for wireless inter-networking between a wireless wide area network (WWAN)     and a local area network (WLAN) employing one or more extended range     wireless inter-networking devices. Aspects of the present disclosure more     specifically are directed toward a high powered wireless interconnect     device that includes high efficiency circuitry to make it possible to     implement in a portable or in-vehicle form factor, which may provide     reasonable battery life, size, weight, and thermal dissipation.</t>
  </si>
  <si>
    <t>US20200280122</t>
  </si>
  <si>
    <t>DATA COMMUNICATIONS CASE</t>
  </si>
  <si>
    <t>16/812765</t>
  </si>
  <si>
    <t>H05K 5/0221 20130101;  H04B 1/38 20130101;  H05K 7/186 20130101;  H05K 5/0247 20130101;  H05K 5/023 20130101;  H01Q 21/28 20130101;  H01Q 1/1207 20130101;  H05K 5/0239 20130101;  H01Q 1/243 20130101;  H01Q 1/2291 20130101;  H05K 7/12 20130101</t>
  </si>
  <si>
    <t>A data communications apparatus is disclosed for providing a data     communications network. The apparatus includes a portable carrying case.     A power supply is securable inside the case. A router device is securable     inside the case, the router device including at least one cellular     gateway for wide area network communication and configured to enable at     least one wireless network for local area network communication. An     antenna array is in electrical communication with the router device, the     antenna array including at least a first pair of cellular antennas, at     least two wireless networking antennas, and a satellite antenna. The     first pair of cellular antennas are configured to support multiple input     multiple output applications for the at least one cellular gateway, and     the at least two wireless networking antennas are configured to support     multiple input multiple output applications for the at least one wireless     network.</t>
  </si>
  <si>
    <t>US20200266668</t>
  </si>
  <si>
    <t>WIRELESS CHARGING PLATFORMS VIA THREE-DIMENSIONAL PHASED COIL ARRAYS</t>
  </si>
  <si>
    <t>16/866328</t>
  </si>
  <si>
    <t>YANK TECHNOLOGIES, INC.</t>
  </si>
  <si>
    <t>YANK</t>
  </si>
  <si>
    <t>YANKOWITZ; Joshua Aaron; (Brooklyn, NY)</t>
  </si>
  <si>
    <t>H02J 50/12 20160201;  H02J 50/70 20160201;  H02J 50/23 20160201;  H01F 38/14 20130101;  H02J 50/60 20160201;  H02J 50/40 20160201</t>
  </si>
  <si>
    <t>Methods, systems, and devices are disclosed for wirelessly charging     electronic devices. In one aspect, a wireless charging transmitter device     includes a three-dimensional coil array electrically coupled to a power     source and structured to include two or more coils to produce an     electromagnetic field that emanates from the three-dimensional coil     array, in which the coils are arranged such that at least two coils are     perpendicular to each other to direct the electromagnetic field. The     wireless charging transmitter device is operable to wirelessly charge an     electronic device by providing the electromagnetic field at a receiver     coil of the electronic device to convert the electromagnetic energy to     electrical energy to power the electronic device.</t>
  </si>
  <si>
    <t>US20200266639</t>
  </si>
  <si>
    <t>SYSTEMS, METHODS, AND DEVICES FOR POWERING A MESH NETWORK USING A PORTABLE     POWER CASE</t>
  </si>
  <si>
    <t>16/685547</t>
  </si>
  <si>
    <t>Y02E 10/76 20130101;  H02J 2207/40 20200101;  H02J 2310/22 20200101;  H01Q 1/526 20130101;  H02J 2300/40 20200101;  H02J 7/0048 20200101;  H02J 7/35 20130101;  H02J 2300/28 20200101;  H01Q 1/242 20130101;  H02J 2300/22 20200101;  H02J 7/0042 20130101;  H02J 7/00032 20200101</t>
  </si>
  <si>
    <t>Systems, methods, and articles for a portable power case are disclosed.     The portable power case is comprised of at least one battery and at least     one PCB. The portable power case is operable to supply power to a     transceiver. The portable power case is operable to be charged using a DC     power source (e.g., solar panel, wind turbine, water turbine). A     plurality of portable power cases, DC power sources, and transceivers are     operable to form a mesh network.</t>
  </si>
  <si>
    <t>US20200251929</t>
  </si>
  <si>
    <t>SYSTEM AND METHOD FOR INFRASTRUCTURE, VEHICLE AND INTERNET OF THINGS     WIRELESS CHARGERS</t>
  </si>
  <si>
    <t>16/782214</t>
  </si>
  <si>
    <t>MOJO MOBILITY, INC.</t>
  </si>
  <si>
    <t>MOJO MOBILITY</t>
  </si>
  <si>
    <t>Partovi; Afshin; (Palo Alto, CA)</t>
  </si>
  <si>
    <t>H01F 5/003 20130101;  H02J 2310/48 20200101;  H02J 50/70 20160201;  H02J 50/005 20200101;  H01F 38/14 20130101;  H02J 50/12 20160201</t>
  </si>
  <si>
    <t>Systems and methods for enabling transfer of power, from a wireless     charger or power supply, to one or more receivers placed on or near the     wireless charger or power supply, whereby the charging surface or coil is     separated from the drive or control electronics is described.</t>
  </si>
  <si>
    <t>US20200244790</t>
  </si>
  <si>
    <t>WALKIE-TALKIE DEVICE, ELECTRONIC APPARATUS, WALKIE-TALKIE INFORMATION     TRANSMISSION METHOD, AND INFORMATION TRANSMISSION METHOD</t>
  </si>
  <si>
    <t>16/635004</t>
  </si>
  <si>
    <t>SHENZHEN WISTEK ENERGY CO., LTD.</t>
  </si>
  <si>
    <t>SHENZHEN WISTEK ENERGY</t>
  </si>
  <si>
    <t>SUN; Hui; (Bao'an Shenzhen, Guangdong, CN)</t>
  </si>
  <si>
    <t>H04M 1/7253 20130101;  H04B 17/318 20150115;  H04W 4/90 20180201;  H04L 69/14 20130101;  H04Q 5/24 20130101;  H04M 2215/2093 20130101;  H04M 1/72541 20130101;  H04W 4/10 20130101;  H04W 4/80 20180201;  G10L 15/1822 20130101</t>
  </si>
  <si>
    <t>Disclosed are a walkie-talkie and a walkie-talkie information     transmission method. The walkie-talkie includes: an interconnection     communication module, configured to establish short-range communication     with an interconnection terminal; a radio frequency module, configured to     establish radio frequency communication with another walkie-talkie; an     internal communication interface; and a processor connected to the     interconnection communication module and the radio frequency module     through the internal communication interface; the processor is configured     to: receive, through the interconnection communication module, a first     signal sent by the interconnection terminal towards the other     walkie-talkie, process the first signal to obtain a second signal, and     send the second signal to the other walkie-talkie through the radio     frequency module; or receive, through the radio frequency module, a third     signal sent by the other walkie-talkie towards the interconnection     terminal, process the third signal to obtain a fourth signal, and send     the fourth signal to the interconnection terminal through the     interconnection communication module.</t>
  </si>
  <si>
    <t>US20200236526</t>
  </si>
  <si>
    <t>System, Device, and Method for Distress Response</t>
  </si>
  <si>
    <t>16/838267</t>
  </si>
  <si>
    <t>H04W 76/10 20180201;  G06F 3/017 20130101;  H04W 4/90 20180201;  H04B 1/3888 20130101</t>
  </si>
  <si>
    <t>In accordance with some embodiments, an apparatus for privacy protection     is provided. The apparatus includes a housing arranged to hold a second     device and sensor(s), where the sensor(s) are operable to obtain a     tactile input. The apparatus also includes a communication interface     operable to communicate with the second device. Additionally, the     apparatus includes a controller operable to direct the second device,     through the communication interface, to generate a distress response in     response to receiving the tactile input. In some embodiments, the     apparatus also includes remote communication device(s) to communicate     with a remote source. In such embodiments, the controller is coupled to     the remote communication device(s), where the controller receives the     geo-fencing information through the one or more communication devices,     compares the information with movement and location information of the     apparatus, and determines whether to direct the second device to enter a     distress mode based on the comparison.</t>
  </si>
  <si>
    <t>US20200228156</t>
  </si>
  <si>
    <t>Low Power, Centralized Data Collection</t>
  </si>
  <si>
    <t>16/739944</t>
  </si>
  <si>
    <t>APANA INC.</t>
  </si>
  <si>
    <t>APANA</t>
  </si>
  <si>
    <t>Rose; Matthew W.; (Bellingham, WA); Burns; Frank; (Spokane, WA); Peterson; Matthew Maher; (Bellingham, WA); Peckham; Canyon Daniel; (White Salmon, WA); Siderskiy; Valentin; (Bellingham, WA); Humphrey; David Royce; (White Salmon, WA); Remmers; Thomas; (Bellingham, WA)</t>
  </si>
  <si>
    <t>H02J 7/345 20130101;  Y02B 90/242 20130101;  Y02B 90/246 20130101;  H02J 7/0014 20130101;  H03F 3/24 20130101;  H02J 7/007 20130101;  H04B 2001/0408 20130101;  H04W 88/02 20130101;  H04W 84/18 20130101;  Y04S 20/322 20130101;  Y04S 20/42 20130101;  H04B 1/1036 20130101;  H04W 88/06 20130101;  H04B 1/44 20130101;  G01D 4/004 20130101;  H04W 52/028 20130101;  H04W 52/0277 20130101;  H04W 88/16 20130101;  H04B 1/0475 20130101;  H04B 1/40 20130101</t>
  </si>
  <si>
    <t>The systems and methods described herein are directed to techniques for     improving battery life performance of end devices in resource monitoring     systems which transmit data using low-power, wide area network (LPWAN)     technologies. Further, the techniques include providing sensor interfaces     in the end devices configured to communicate with multiple types of     metrology sensors. Additionally, the systems and methods include     techniques for reducing the size of a concentrator of a gateway device     which receives resource measurement data from end devices. The reduced     size of the concentrator results in smaller, more compact gateway devices     that consume less energy and reduce heat dissipation experienced in     gateway devices. The concentrator may comply with modular interface     standards, and include two radios configured for transmitting 1-watt     signals. Lastly, the systems and methods include techniques for fully     redundant radio architecture within a gateway device, allowing for     maximum range and minimizing downtime due to transmission overlap.</t>
  </si>
  <si>
    <t>US20200225684</t>
  </si>
  <si>
    <t>PERSISTENT AERIAL COMMUNICATION AND CONTROL SYSTEM</t>
  </si>
  <si>
    <t>16/833491</t>
  </si>
  <si>
    <t>TELEDYNE FLIR DETECTION, INC.</t>
  </si>
  <si>
    <t>TELEDYNE FLIR DETECTION</t>
  </si>
  <si>
    <t>ANDERSON; Bretton E.; (Westford, MA); LAFOUNTAIN; Philip N.; (South Hamilton, MA); ZAPAROVANNY; Alexey; (Westford, MA); FILIPPOV; Misha; (Framingham, MA); MISTRY; Samir S.; (Billerica, MA); WON; Chikyung; (Tewksbury, MA); MCCLURE; Kevin Michael; (Danvers, MA); EKCHIAN; Caroline; (Danvers, MA)</t>
  </si>
  <si>
    <t>G05D 1/0866 20130101;  B64C 39/024 20130101;  B64C 2201/042 20130101;  B64F 3/02 20130101;  B64C 2201/027 20130101</t>
  </si>
  <si>
    <t>Systems and methods for powering and controlling flight of an unmanned     aerial vehicle are provided. The unmanned aerial vehicles can be used in     a networked communication system. A tether management system can be used     to facilitate both mobile and static tethered operation to provide power     and/or voice and data communication.</t>
  </si>
  <si>
    <t>US20200205062</t>
  </si>
  <si>
    <t>METHODS AND DEVICES FOR RADIO COMMUNICATIONS</t>
  </si>
  <si>
    <t>16/804038</t>
  </si>
  <si>
    <t>Intel</t>
  </si>
  <si>
    <t>INTEL CORP</t>
  </si>
  <si>
    <t>Azizi; Shahrnaz; (Cupertino, CA); Badic; Biljana; (Munich, DE); Browne; John; (Limerick, IE); Cavalcanti; Dave; (Portland, OR); Choi; Hyung-Nam; (Hamburg, DE); Clevorn; Thorsten; (Munich, DE); Gupta; Ajay; (Portland, OR); Gupta Hyde; Maruti; (Portland, OR); Hasholzner; Ralph; (Munich, DE); Himayat; Nageen; (Fremont, CA); Hunt; Simon; (Naples, FL); Karls; Ingolf; (Feldkirchen, DE); Kenney; Thomas; (Portland, OR); Liao; Yiting; (Sunnyvale, CA); Macnamara; Chris; (Limerick, IE); Martinez Tarradell; Marta; (Hillsboro, OR); Mueck; Markus Dominik; (Unterhaching, DE); Nallampatti Ekambaram; Venkatesan; (Hillsboro, OR); Power; Niall; (Newcastle West, IE); Raaf; Bernhard; (Neuried, DE); Schneider; Reinhold; (Veitsbronn, DE); Singh; Ashish; (Munich, DE); Singh; Sarabjot; (Santa Clara, CA); Srikanteswara; Srikathyayani; (Portland, OR); Talwar; Shilpa; (Cupertino, CA); Xue; Feng; (Redwood City, CA); Yu; Zhibin; (Unterhaching, DE); Zaus; Robert; (Munich, DE); Franz; Stefan; (Munich, DE); Kliemann; Uwe; (Rednitzhembach, DE); Drewes; Christian; (Germering, DE); Kreuchauf; Juergen; (San Francisco, CA)</t>
  </si>
  <si>
    <t>H04W 48/16 20130101;  H04W 92/045 20130101;  H04W 24/08 20130101;  H04W 48/10 20130101;  H04W 4/029 20180201;  H04W 68/005 20130101</t>
  </si>
  <si>
    <t>A circuit arrangement includes a preprocessing circuit configured to     obtain context information related to a user location, a learning circuit     configured to determine a predicted user movement based on context     information related to a user location to obtain a predicted route and to     determine predicted radio conditions along the predicted route, and a     decision circuit configured to, based on the predicted radio conditions,     identify one or more first areas expected to have a first type of radio     conditions and one or more second areas expected to have a second type of     radio conditions different from the first type of radio conditions and to     control radio activity while traveling on the predicted route according     to the one or more first areas and the one or more second areas.</t>
  </si>
  <si>
    <t>US20200204208</t>
  </si>
  <si>
    <t>METHODS AND APPARATUS FOR SELECTIVELY CONTROLLING ENERGY CONSUMPTION OF A     WAVEGUIDE SYSTEM</t>
  </si>
  <si>
    <t>16/749013</t>
  </si>
  <si>
    <t>AT&amp;T INC</t>
  </si>
  <si>
    <t>AT&amp;T</t>
  </si>
  <si>
    <t>Bennett; Robert; (Southold, NY); Barzegar; Farhad; (Branchburg, NJ); Vannucci; Giovanni; (Middletown, NJ); Henry; Paul Shala; (Holmdel, NJ); Willis, III; Thomas M.; (Tinton Falls, NJ); Gerszberg; Irwin; (Kendall Park, NJ); Barnickel; Donald J.; (Flemington, NJ)</t>
  </si>
  <si>
    <t>H01P 3/16 20130101;  H04B 2203/5441 20130101;  H04B 3/58 20130101;  H01P 3/02 20130101;  H04B 3/542 20130101;  H04B 3/46 20130101</t>
  </si>
  <si>
    <t>Aspects of the subject disclosure may include, a system for determining     from one or more conditions a range of energy that can be obtained from a     transmission medium to power the first waveguide system, selecting     according to the range of energy a group of components of a plurality of     selectable components of the first waveguide system, and enabling the     group of components and powering down a remainder of the plurality of     selectable components, wherein the group of components facilitates an     exchange of electromagnetic waves between the first waveguide system and     a second waveguide system via the transmission medium. Other embodiments     are disclosed.</t>
  </si>
  <si>
    <t>US20200203966</t>
  </si>
  <si>
    <t>Portable Power Solutions</t>
  </si>
  <si>
    <t>16/805706</t>
  </si>
  <si>
    <t>OMNICHARTS, LLC</t>
  </si>
  <si>
    <t>OMNICHARTS</t>
  </si>
  <si>
    <t>Gray; Gavin; (Marana, AZ)</t>
  </si>
  <si>
    <t>G06F 1/263 20130101;  H02J 7/0029 20130101;  G06F 1/1632 20130101;  G06F 1/28 20130101;  H02J 7/0042 20130101;  H04W 12/08 20130101;  H04L 63/10 20130101</t>
  </si>
  <si>
    <t>The system includes a device activation module and a system monitoring     module in resources accessible to the system operator over the wide area     network. In one embodiment, the method operates to process collateral     received by the resources from a client device possessed by a user     interested in activating a charging output included in a charger selected     by the user from the plurality of portable chargers. Further, if the     collateral is accepted, an authorization is wirelessly communicated from     the device activation module to the client device, a device activation     signal wirelessly communicated from the client device following a receipt     of the authorization is received by the charger selected by the user, and     the charging output included in the charger selected by the user is     activated following a receipt of the device activation signal.</t>
  </si>
  <si>
    <t>US20200195339</t>
  </si>
  <si>
    <t>COMMUNICATION SYSTEM FOR AIRCRAFTS WITH ALTITUDE BASED ANTENNA TYPE     SELECTION</t>
  </si>
  <si>
    <t>16/613158</t>
  </si>
  <si>
    <t>ICOMERA AB</t>
  </si>
  <si>
    <t>ICOMERA</t>
  </si>
  <si>
    <t>KARLSSON; Mats; (Valberg, SE)</t>
  </si>
  <si>
    <t>H04W 84/06 20130101;  H04B 7/18504 20130101;  H04B 7/0814 20130101;  H04W 84/005 20130101;  H04B 7/0608 20130101;  H04B 7/18506 20130101</t>
  </si>
  <si>
    <t>A system and method for providing wireless data communication between a     wireless communication system in an aircraft and a stationary     communication server outside the aircraft are disclosed. The wireless     communication system comprises a plurality of antennas, and a router in     the aircraft configured to transmit and receive wireless data     communication to and from a stationary communication server outside the     aircraft through at least one ground base station via at least one of the     plurality of antennas. The plurality of antennas includes at least one     omnidirectional antenna and at least one directional antenna. The router     comprises a control unit configured to restrict the wireless data     communication to solely occur through the at least one directional     antenna the when the current altitude of the aircraft is determined to be     above a predefined altitude threshold value. Hereby, it is possible to     provide a more stable data link between clients connected to the aircraft     wireless communication system and remote external servers.</t>
  </si>
  <si>
    <t>US20200195338</t>
  </si>
  <si>
    <t>METHODS AND APPARATUS FOR MEASURING A SIGNAL TO SWITCH BETWEEN MODES OF     TRANSMISSION</t>
  </si>
  <si>
    <t>16/569862</t>
  </si>
  <si>
    <t>Barzegar; Farhad; (Branchburg, NJ); Vannucci; Giovanni; (Middletown, NJ); Henry; Paul Shala; (Holmdel, NJ); Willis, III; Thomas M.; (Tinton Falls, NJ); Gerszberg; Irwin; (Kendall Park, NJ); Bennett; Robert; (Southold, NY); Barnickel; Donald J.; (Flemington, NJ)</t>
  </si>
  <si>
    <t>H04B 7/15578 20130101;  H04B 7/15528 20130101;  H04W 36/14 20130101;  H04B 17/336 20150115;  H04B 17/382 20150115;  H04B 17/40 20150115;  H04B 17/318 20150115</t>
  </si>
  <si>
    <t>Aspects of the subject disclosure may include, a system for receiving     electromagnetic waves that propagate along a transmission medium,     responsive to a signal quality of the electromagnetic waves satisfying a     threshold: generating updated electromagnetic waves by conditioning the     electromagnetic waves without modifying digital signals conveyed by the     electromagnetic waves and inducing propagation of the updated     electromagnetic waves along the transmission medium. Other embodiments     are disclosed.</t>
  </si>
  <si>
    <t>US20200195304</t>
  </si>
  <si>
    <t>METHOD AND APPARATUS FOR MITIGATING THERMAL STRESS IN A WAVEGUIDE     COMMUNICATION SYSTEM</t>
  </si>
  <si>
    <t>16/219548</t>
  </si>
  <si>
    <t>Vannucci; Giovanni; (Middletown, NJ); Gerszberg; Irwin; (Kendall Park, NJ); Willis, III; Thomas M.; (Tinton Falls, NJ); Henry; Paul Shala; (Holmdel, NJ); Bennett; Robert; (Southold, NY); Barnickel; Donald J.; (Flemington, NJ); Farah; Jeffrey J.; (North Brunswick, NJ); Barzegar; Farhad; (Branchburg, NJ)</t>
  </si>
  <si>
    <t>H01P 3/10 20130101;  H01P 5/02 20130101;  H01P 7/06 20130101;  H04B 3/58 20130101;  H04B 3/56 20130101;  H01B 11/1895 20130101;  H01P 1/207 20130101</t>
  </si>
  <si>
    <t>Aspects of the subject disclosure may include, a waveguide device     including a coupler that transmits or receives electromagnetic waves that     propagate along a transmission medium without requiring an electrical     return path, where the electromagnetic waves are guided by the     transmission medium. The waveguide device can include a housing that     houses the coupler, where the housing has a first portion comprising a     material that reflects particular wavelengths of light. Other embodiments     are disclosed.</t>
  </si>
  <si>
    <t>US20200195303</t>
  </si>
  <si>
    <t>METHODS AND APPARATUS FOR MONITORING CONDITIONS TO SWITCH BETWEEN MODES OF     TRANSMISSION</t>
  </si>
  <si>
    <t>16/219411</t>
  </si>
  <si>
    <t>Vannucci; Giovanni; (Middletown, NJ); Barzegar; Farhad; (Branchburg, NJ); Henry; Paul Shala; (Holmdel, NJ); Willis, III; Thomas M.; (Tinton Falls, NJ); Gerszberg; Irwin; (Kendall Park, NJ); Bennett; Robert; (Southold, NY); Barnickel; Donald J.; (Flemington, NJ)</t>
  </si>
  <si>
    <t>H04B 2203/5441 20130101;  H01P 3/10 20130101;  H04B 2203/5495 20130101;  H04L 45/22 20130101;  H04B 3/58 20130101;  H04B 2203/5479 20130101;  H04B 2203/5445 20130101;  H04B 3/56 20130101;  H04B 2203/5483 20130101;  H04B 3/32 20130101</t>
  </si>
  <si>
    <t>Aspects of the subject disclosure may include, a system for determining     from one or more conditions for a retransmission of electromagnetic waves     received by the waveguide system via a transmission medium, a duty cycle     for retransmitting the electromagnetic waves, retransmitting the     electromagnetic waves utilizing a first repeater type of the waveguide     system during a first portion of the duty cycle, and retransmitting the     electromagnetic waves utilizing a second repeater type of the waveguide     system during a second portion of the duty cycle. Other embodiments are     disclosed.</t>
  </si>
  <si>
    <t>US20200194875</t>
  </si>
  <si>
    <t>Manpack Base Station</t>
  </si>
  <si>
    <t>16/718001</t>
  </si>
  <si>
    <t>Parallel Wireless</t>
  </si>
  <si>
    <t>PARALLEL WIRELESS</t>
  </si>
  <si>
    <t>Tiner; Jason; (North Smithfield, RI); Khanna; Rajesh; (Auburndale, MA); McPhee; Patrick; (Ashby, MA)</t>
  </si>
  <si>
    <t>H01Q 1/1235 20130101;  A45F 3/04 20130101;  H01Q 1/273 20130101;  H01M 2/1022 20130101</t>
  </si>
  <si>
    <t>A communications backpack is disclosed. In one embodiment, the     communications backpack includes a backpack; a Radio Area Network (RAN)     device in mechanical communication with the backpack; a mini-server in     mechanical communication with the backpack and in electrical     communication with the RAN device; at least one hot swappable battery in     mechanical communication with the backpack and in electrical     communication with the RAN device and the mini-server; at least two     antennas, wherein the two antennas are stored in a first position     alongside the backpack and are movable to a second position where the two     antennas are coupled to the backpack and in electrical communication with     the RAN device; and wherein the communications backpack provides a     coverage area of up to 3 kilometers (km).</t>
  </si>
  <si>
    <t>US20200187379</t>
  </si>
  <si>
    <t>SYSTEM FOR SUPPLYING POWER TO AT LEAST ONE POWER DISTRIBUTION AND DATA HUB     USING A PORTABLE BATTERY PACK</t>
  </si>
  <si>
    <t>16/732785</t>
  </si>
  <si>
    <t>H04L 29/04 20130101;  H02B 1/26 20130101;  H01M 2/0217 20130101;  H01M 2/1094 20130101;  H01M 2/0207 20130101;  H05K 7/1492 20130101;  H01M 2/1022 20130101;  H01M 2/0404 20130101;  H01M 2/026 20130101;  H01M 2/0482 20130101</t>
  </si>
  <si>
    <t>A system for supplying power to at least one power distribution and data     hub using a portable battery pack including a battery enclosed by a     wearable and replaceable pouch or skin is disclosed, wherein the pouch or     skin can be provided in different colors and/or patterns. Further, the     pouch or skin can be MOLLE-compatible. The battery comprises a battery     element housed between a battery cover and a back plate, wherein the     battery element, battery cover, and back plate have a slight curvature or     contour. Further, the battery comprises flexible leads.</t>
  </si>
  <si>
    <t>US20200178090</t>
  </si>
  <si>
    <t>UAV MODULAR REDUNDANT COMMUNICATIONS</t>
  </si>
  <si>
    <t>16/206770</t>
  </si>
  <si>
    <t>T-Mobile</t>
  </si>
  <si>
    <t>T-MOBILE</t>
  </si>
  <si>
    <t>Murphy; Sean Patrick; (Renton, WA)</t>
  </si>
  <si>
    <t>H04W 88/08 20130101;  H04W 84/047 20130101;  H04W 12/0609 20190101;  H04B 7/18504 20130101;  H04W 24/02 20130101</t>
  </si>
  <si>
    <t>An unmanned aerial vehicle (UAV) network cell that uses modular     communication modems may be configured to support various communication     standards and communication frequency bands. A UAV communication     controller may monitor a signal robustness value for a communication     frequency band that a UAV network cell is using for a relay backhaul with     a ground network cell of a wireless carrier network. In response to     determining that the signal robustness value of the communication     frequency band has dropped below a predetermined threshold, the UAV     communication controller may command the UAV network cell to use an     additional communication frequency band that is different from the     communication frequency band to carry at least one portion of backhaul     communication with the wireless carrier network.</t>
  </si>
  <si>
    <t>US20200177238</t>
  </si>
  <si>
    <t>METHOD AND APPARATUS FOR COMMUNICATION UTILIZING ELECTROMAGNETIC WAVES AND     A TELECOMMUNICATION LINE</t>
  </si>
  <si>
    <t>16/204133</t>
  </si>
  <si>
    <t>Barzegar; Farhad; (Branchburg, NJ); Vannucci; Giovanni; (Middletown, NJ); Gerszberg; Irwin; (Kendall Park, NJ); Willis, III; Thomas M.; (Tinton Falls, NJ); Henry; Paul Shala; (Holmdel, NJ); Bennett; Robert; (Southold, NY); Barnickel; Donald J.; (Flemington, NJ)</t>
  </si>
  <si>
    <t>H04B 3/56 20130101;  H04B 3/542 20130101;  H04B 3/52 20130101</t>
  </si>
  <si>
    <t>Aspects of the subject disclosure may include, a system for receiving     signals that convey data, obtaining energy from a telecommunication line     of a telecommunications network where an AC or DC power signal is     injected into the telecommunication line and where the energy is utilized     by at least a subset of components of a waveguide system, and     transmitting electromagnetic waves that convey the data where the     electromagnetic waves propagate along the telecommunication line without     requiring an electrical return path. Other embodiments are disclosed.</t>
  </si>
  <si>
    <t>US20200177237</t>
  </si>
  <si>
    <t>METHOD AND APPARATUS FOR COMMUNICATION UTILIZING ELECTROMAGNETIC WAVES AND     A POWER LINE</t>
  </si>
  <si>
    <t>16/203899</t>
  </si>
  <si>
    <t>H04B 3/548 20130101;  H04B 3/52 20130101;  H03H 7/0115 20130101;  H04B 3/58 20130101;  H04B 2203/5416 20130101;  H04B 3/04 20130101;  H04B 3/542 20130101</t>
  </si>
  <si>
    <t>Aspects of the subject disclosure may include, a system for receiving     communication signals that convey data, obtaining energy from a     telecommunication line of a telecommunications network where an AC or DC     power signal is injected into the telecommunication line and where the     energy is utilized by at least a subset of components of a waveguide     system, and transmitting electromagnetic waves that convey the data where     the electromagnetic waves propagate along a power line of a power grid     without requiring an electrical return path. Other embodiments are     disclosed.</t>
  </si>
  <si>
    <t>US20200174466</t>
  </si>
  <si>
    <t>DRONE COMMUNICATION SYSTEM AND COMMUNICATION SYSTEM OF DRONE SERVER</t>
  </si>
  <si>
    <t>16/500030</t>
  </si>
  <si>
    <t>BEIJING JINGDONG QIANSHI TECHNOLOGY CO., LTD.</t>
  </si>
  <si>
    <t>BEIJING JINGDONG QIANSHI</t>
  </si>
  <si>
    <t>ZHANG; Wenkai; (Beijing, CN); WANG; Yali; (Beijing, CN)</t>
  </si>
  <si>
    <t>G05D 1/0022 20130101;  B64C 2201/14 20130101;  H04L 43/10 20130101;  B64C 2201/122 20130101;  B64C 39/024 20130101;  G05D 1/0088 20130101</t>
  </si>
  <si>
    <t>A drone communication system and method. The system includes a first     communication module; a second communication module; and a drone     processor electrically connected to the first communication module and     the second communication module respectively; and configured to receive     and send a heartbeat packet and communication data through a first     communication module and a first communication network, so as to     communicate with a first communication port of a server; receive and send     communication data through a second communication module and a second     communication network, so as to communicate with a second communication     port of a server. A receiving condition of the heartbeat packet is used     to determine whether to use the communication data received by the first     communication network or the second communication network.</t>
  </si>
  <si>
    <t>US20200174189</t>
  </si>
  <si>
    <t>METHOD AND APPARATUS FOR PROVIDING POWER TO WAVEGUIDE SYSTEMS</t>
  </si>
  <si>
    <t>16/737491</t>
  </si>
  <si>
    <t>H04J 14/0227 20130101;  H04B 3/56 20130101;  G02B 6/4246 20130101;  G02B 2006/12164 20130101;  H04J 14/02 20130101;  G02B 2006/12147 20130101;  H04B 10/807 20130101;  G02B 6/12007 20130101;  G02B 6/4201 20130101</t>
  </si>
  <si>
    <t>Aspects of the subject disclosure may include, a system for receiving     first optical power signals via an optical fiber connected with a light     source of a network device, converting the first optical power signals to     electrical energy utilizing an optical power converter where the     electrical energy is utilized as power by the system, and transmitting or     receiving electromagnetic waves that propagate along a transmission     medium without requiring an electrical return path, and wherein the     electromagnetic waves convey data. Other embodiments are disclosed.</t>
  </si>
  <si>
    <t>US20200174185</t>
  </si>
  <si>
    <t>METHOD AND APPARATUS FOR POWER DELIVERY TO WAVEGUIDE SYSTEMS</t>
  </si>
  <si>
    <t>16/203972</t>
  </si>
  <si>
    <t>Barzegar; Farhad; (Branchburg, NJ); Gerszberg; Irwin; (Kendall Park, NJ); Willis, III; Thomas M.; (Tinton Falls, NJ); Henry; Paul Shala; (Holmdel, NJ); Bennett; Robert; (Southold, NY); Barnickel; Donald J.; (Flemington, NJ); Vannucci; Giovanni; (Middletown, NJ)</t>
  </si>
  <si>
    <t>H01P 3/10 20130101;  G02B 6/4286 20130101;  G02B 2006/12111 20130101;  H04B 10/807 20130101;  G02B 2006/12147 20130101</t>
  </si>
  <si>
    <t>Aspects of the subject disclosure may include, a system for receiving,     via an optical fiber, optical power signals where the optical fiber is     connected with a light source, converting, by an optical power converter,     the optical power signals to electrical energy, where the electrical     energy is utilized as power, and transmitting or receiving, via a     coupler, electromagnetic waves that convey data where the electromagnetic     waves propagate along a transmission medium without requiring an     electrical return path. Other embodiments are disclosed.</t>
  </si>
  <si>
    <t>US20200168075</t>
  </si>
  <si>
    <t>PORTABLE DEVICE FOR INDICATING EMERGENCY EVENTS</t>
  </si>
  <si>
    <t>16/776671</t>
  </si>
  <si>
    <t>DAUNTLESS LABS, LLC</t>
  </si>
  <si>
    <t>DAUNTLESS LABS</t>
  </si>
  <si>
    <t>Singh; Arati P.; (Austin, TX); Singh; Ranjeev K.; (Austin, TX)</t>
  </si>
  <si>
    <t>H04W 4/029 20180201;  G06F 2203/04101 20130101;  G08B 25/016 20130101;  G08B 21/02 20130101;  G08B 25/10 20130101;  G06F 3/0416 20130101;  H04W 4/023 20130101;  H04W 4/90 20180201</t>
  </si>
  <si>
    <t>A portable device including a gesture recognizer module for automatically     detecting a specific sequence of gestures is described. The portable     device may be used to detect a health, safety, or security related event.     The portable device may further include an emergency event module for     automatically determining whether the sequence of gestures corresponds to     an emergency event. The portable device may further include a proximity     detection module for automatically determining whether a mobile device     corresponding to a user listed as an emergency contact is in a state of     proximity to the portable device. The portable device may further include     a notification module for automatically transmitting a message,     indicating the emergency event, to the user of the mobile device     determined to be in the state of proximity.</t>
  </si>
  <si>
    <t>US20200166654</t>
  </si>
  <si>
    <t>SYSTEMS AND METHODS FOR DETERMINING A PATH OF A MOVING DEVICE</t>
  </si>
  <si>
    <t>16/750010</t>
  </si>
  <si>
    <t>Didi Global</t>
  </si>
  <si>
    <t>BEIJING DIDI INFINITY AND DEVELOPMENT</t>
  </si>
  <si>
    <t>REN; Cong; (Hangzhou, CN); HU; Qidong; (Beijing, CN); LIU; Boyu; (Beijing, CN)</t>
  </si>
  <si>
    <t>G01S 19/39 20130101;  G01C 21/28 20130101;  G01C 21/32 20130101</t>
  </si>
  <si>
    <t>The present disclosure relates to systems and methods for determining a     path of a moving vehicle. The systems may perform the methods to obtain a     plurality of location points relating to a moving device; determine at     least one average velocity of the moving device between two of the     plurality of location points; remove at least one interfering location     point from the plurality of location points based on the at least one     average velocity; determine remainders of the plurality of location     points as a set of effective location points based on the at least one     average velocity; determine a path of the moving device based on the set     of effective location points; and store data for the path of the moving     device in the one or more storage media.</t>
  </si>
  <si>
    <t>US20200166372</t>
  </si>
  <si>
    <t>USER INTERFACE</t>
  </si>
  <si>
    <t>16/200763</t>
  </si>
  <si>
    <t>IBM</t>
  </si>
  <si>
    <t>INTERNATIONAL BUSINESS</t>
  </si>
  <si>
    <t>Watanabe; Shoichiro; (Tokyo, JP)</t>
  </si>
  <si>
    <t>G01C 21/3676 20130101;  G01C 21/3664 20130101;  G01C 21/3617 20130101</t>
  </si>
  <si>
    <t>Embodiments are directed to a user interface for superimposingly     displaying, on a map, a plurality of travel route patterns reflecting     tendencies of movements of a moving object and a new travel route     predicted using the plurality of travel route patterns. The plurality of     travel route patterns being extracted in advance by analyzing traveling     history data of the moving object and being displayed in different     manners, according to a prediction probability between each of the     plurality of travel route patterns and the new travel route.</t>
  </si>
  <si>
    <t>US20200163138</t>
  </si>
  <si>
    <t>SYSTEM AND METHOD FOR ESTABLISHING A D2D COMMUNICATION GROUP</t>
  </si>
  <si>
    <t>16/752132</t>
  </si>
  <si>
    <t>Huawei Technologies</t>
  </si>
  <si>
    <t>HUAWEI</t>
  </si>
  <si>
    <t>Maaref; Amine; (Ottawa, CA)</t>
  </si>
  <si>
    <t>H04W 8/186 20130101;  H04W 4/08 20130101;  H04W 76/14 20180201;  H04W 8/005 20130101;  H04W 48/12 20130101</t>
  </si>
  <si>
    <t>Systems and methods are disclosed for establishing a device-to-device     (D2D) group amongst a plurality of user equipments (UEs). In one     embodiment a target UE transmits, using D2D communication, a request     message inviting at least one other UE to be part of a D2D group with the     target UE. A neighbour UE receives the request message and transmits a     report message indicating that the neighbour UE will be part of the D2D     group with the target UE. A base station receives the report message and     transmits to the target UE and to the neighbour UE a confirmation message     indicating that the neighbour UE is in the D2D group with the target UE.</t>
  </si>
  <si>
    <t>US20200144727</t>
  </si>
  <si>
    <t>SOLDIER-MOUNTED ANTENNA</t>
  </si>
  <si>
    <t>16/543391</t>
  </si>
  <si>
    <t>COBHAM ADVANCED ELECTRONIC SOLUTIONS, INC.</t>
  </si>
  <si>
    <t>COBHAM ADVANCED ELECTRONIC SOLUTIONS</t>
  </si>
  <si>
    <t>Muesse; Allen R.; (San Clemente, CA); Mills; Steven R.; (Mission Viejo, CA); Fenick; John E.; (Aliso Viejo, CA); Navarro; Fernando J.; (Chino, CA); Macy; David F.; (Mission Viejo, CA)</t>
  </si>
  <si>
    <t>H01Q 11/086 20130101;  H01Q 1/1235 20130101;  H01Q 1/362 20130101;  H01Q 1/273 20130101</t>
  </si>
  <si>
    <t>Embodiments of a wide band multi-polarization antenna system are     described, which can be attached to the back or front of a soldier's vest     or backpack. The antenna system can allow for release of pre-shaped     integral radiating elements that spring into a geometric configuration     suitable for circular polarization radiation or linear polarization over     a desired band of frequencies. The antenna system can provide, when     collapsed, linear polarized line-of sight capability over a wide band of     frequencies. In a collapsed low-profile state, the antenna system can     remain on the soldier, but out of the way for maneuvering.</t>
  </si>
  <si>
    <t>US20200127243</t>
  </si>
  <si>
    <t>MODULAR BATTERY PACK SYSTEM WITH MULTI-VOLTAGE BUS</t>
  </si>
  <si>
    <t>16/706057</t>
  </si>
  <si>
    <t>JOULECASE LLC</t>
  </si>
  <si>
    <t>JOULECASE</t>
  </si>
  <si>
    <t>Wagoner; James; (Seattle, WA); Livingston; Alexander; (Seattle, WA)</t>
  </si>
  <si>
    <t>H01M 2/0202 20130101;  H02J 7/045 20130101;  H02J 3/382 20130101;  H01M 2/1022 20130101</t>
  </si>
  <si>
    <t>A method and system provide a plurality of power cell modules. The power     cell modules can be stacked together such that they are electrically     connected and share a collective multi-voltage bus. Electronic appliances     can be connected to one of the power cell modules to be powered by all of     the connected power cell modules. Power cell modules can be easily added     or removed from the bank without interrupting the supply of power to the     electronic appliance.</t>
  </si>
  <si>
    <t>US20200113318</t>
  </si>
  <si>
    <t>BACKPACK HAVING A DISPLAY</t>
  </si>
  <si>
    <t>16/705496</t>
  </si>
  <si>
    <t>MY BAG CORP</t>
  </si>
  <si>
    <t>MY BAG</t>
  </si>
  <si>
    <t>Hall; Kevin; (Virginia Beach, VA)</t>
  </si>
  <si>
    <t>H04N 1/00344 20130101;  G06K 15/021 20130101;  H04N 1/00095 20130101;  A45F 3/04 20130101</t>
  </si>
  <si>
    <t>A customizable bag is provided that permits multiple types of     customization. The bag includes a ferromagnetic platform coupled to one     or more of the bag's panels. The ferromagnetic platform includes a     magnetic material, a drawable surface, and may be printed with images or     designs provided to the manufacturer or provider by the customer or other     user. Also provided are systems for customizing a bag or creating a     customizable bag.</t>
  </si>
  <si>
    <t>US20200112189</t>
  </si>
  <si>
    <t>Wireless Communications Unit</t>
  </si>
  <si>
    <t>16/319582</t>
  </si>
  <si>
    <t>MINE SITE TECHNOLOGIES PTY LTD</t>
  </si>
  <si>
    <t>MINE SITE PTY</t>
  </si>
  <si>
    <t>McLean; Stuart; (New South Wales, AU)</t>
  </si>
  <si>
    <t>H01M 10/425 20130101;  H01M 10/441 20130101;  H01M 10/482 20130101;  H01M 2010/4271 20130101;  H02J 7/0047 20130101;  H02J 7/0045 20130101</t>
  </si>
  <si>
    <t>A wireless communications unit is provided, such as a portable unit to     serve as an access point and/or a repeater node in a wireless meshing     network, including at least two removable power source modules engageable     with and electrically connectable to the unit to provide electrical power     thereto, and a mechanism to allow selective disconnection and removal of     one power source module from the unit while maintaining connection and     retention to the unit of another power source module. The mechanism     comprises a rotatable wheel having a radially projecting portion (such as     a cam lobe). When the wheel is rotated the projecting portion bears     against a part of the first power source module to push it into an     ejected position while electrically disconnecting it from the unit, to     allow removal and recharge/replacement.</t>
  </si>
  <si>
    <t>US20200105122</t>
  </si>
  <si>
    <t>PERSONAL EMERGENCY RESPONSE SYSTEM</t>
  </si>
  <si>
    <t>16/702388</t>
  </si>
  <si>
    <t>MYTREX, INC.</t>
  </si>
  <si>
    <t>MYTREX</t>
  </si>
  <si>
    <t>Bangerter; Richard M.; (South Jordan, UT); Bangerter; Ryan R.; (South Jordan, UT); Mattle; Eric L.; (South Jordan, UT); Wood; Jared H.; (Sandy, UT); Hibbert; Brett J.; (South Jordan, UT); Sterzer; Joseph A.; (Eagle Mountain, UT); Salisbury; Lynn H.; (South Jordan, UT); Bangerter; Michael M.; (Bluffdale, UT); Sandoval; Steven Alex; (Herriman, UT); Parduhn; Zachary W.; (Herriman, UT); Gonzalez; Andres; (Draper, UT); Peterson; Jay R.; (South Jordan, UT); Bangerter; Joshua J.; (South Jordan, UT); Kasper; Richard S.; (Kearns, UT)</t>
  </si>
  <si>
    <t>G08B 25/016 20130101;  H04W 4/90 20180201;  H04M 1/57 20130101;  H04M 1/72541 20130101</t>
  </si>
  <si>
    <t>Technology for an enhanced personal emergency response system (e-PERS)     unit is disclosed. The e-PERS unit can transmit a general message related     to a personal emergency to a personal emergency response system (PERS)     computing service environment (CSE), wherein the general message includes     an identification (ID) of the e-PERS unit to enable the e-PERS CSE to     send the ID of the e-PERS unit to a monitoring station. The e-PERS unit     can receive a unit profile message from the e-PERS CSE. The e-PERS unit     can: open a voice channel to the monitoring station in response to     receiving the general message from the e-PERS CSE, or receive a voice     call from the monitoring station in response to receiving the ID of the     e-PERS unit at the monitoring station. The e-PERS unit can include a     display screen and a base unit help button.</t>
  </si>
  <si>
    <t>US20200100581</t>
  </si>
  <si>
    <t>Backpack with electronic LED structure</t>
  </si>
  <si>
    <t>16/145177</t>
  </si>
  <si>
    <t>PIX INC.</t>
  </si>
  <si>
    <t>PIX</t>
  </si>
  <si>
    <t>Iezdin; Sergii; (Kyiv, UA); Kaunov; Ivan; (Kyiv, UA); Rimek; Marharyta; (Kyiv, UA)</t>
  </si>
  <si>
    <t>A45F 2003/003 20130101;  A45C 15/06 20130101;  A45F 3/04 20130101</t>
  </si>
  <si>
    <t>The essence of the utility model is a backpack or briefcase with an     electronic LED structure, which can be an LED panel controlled via a     control board by the controller using software integrated with the     electronic LED structure by wireless communication, with the backpack or     portfolio containing front and back sides, fastened with each other by     corner sides, bottom and top, external fasteners and pockets. A handle     and carring straps for wearing is fixed either on the specified walls.     The controller may be a smartphone, tablet, computer, or any other device     that can install software and support wireless data communications. As a     technology option, the power source can he located in any part of the     backpack.</t>
  </si>
  <si>
    <t>US20200100182</t>
  </si>
  <si>
    <t>METHOD FOR TRANSMITTING OR RECEIVING WAKE-UP RADIO PACKET IN WIRELESS LAN     SYSTEM AND DEVICE THEREFOR</t>
  </si>
  <si>
    <t>16/464662</t>
  </si>
  <si>
    <t>YUN; Sunwoong; (Seoul, KR); PARK; Eunsung; (Seoul, KR); LIM; Dongguk; (Seoul, KR); CHO; Hangyu; (Seoul, KR); CHOI; Jinsoo; (Seoul, KR)</t>
  </si>
  <si>
    <t>H04L 27/26 20130101;  H04W 84/12 20130101;  H04L 27/02 20130101;  H04W 52/0235 20130101</t>
  </si>
  <si>
    <t>A method for transmitting a wake-up radio (WUR) packet by an access point     (AP) in a wireless LAN (WLAN) system according to an embodiment of the     present invention comprises the steps of: generating a WUR packet     including a legacy preamble and a plurality of on-symbols; and     transmitting the WUR packet to a station (STA), wherein a subcarrier     sequence for generating the plurality of on-symbols may be determined on     the basis of a legacy training field sequence that configures the legacy     preamble.</t>
  </si>
  <si>
    <t>US20200100053</t>
  </si>
  <si>
    <t>SYSTEMS AND METHODS FOR PERFORMING LOCATION-BASED ACTIONS</t>
  </si>
  <si>
    <t>16/697058</t>
  </si>
  <si>
    <t>BAI; Jingwen; (Beijing, CN); CAO; Yuchu; (Beijing, CN)</t>
  </si>
  <si>
    <t>H04M 2250/10 20130101;  H04W 4/027 20130101;  G01C 21/3484 20130101;  H04W 4/023 20130101;  H04W 4/021 20130101;  H04W 4/02 20130101;  H04M 1/72572 20130101;  G01C 21/3676 20130101;  G01C 21/3492 20130101;  H04W 4/024 20180201</t>
  </si>
  <si>
    <t>The present application discloses systems and methods for performing     location-based actions. The methods may include obtaining, by an     electronic device, location information associated with the electronic     device with respect to a reference location. The methods may further     include determining, by the electronic device, whether the location     information changes from a first status to a second status. The methods     may further include performing, by the electronic device, a predetermined     action upon determining that the location information changes from the     first status to the second status. The location information may relate to     a speed, a direction, an acceleration, a geographic location of the     electronic device, and/or a distance between the electronic device and     the reference location.</t>
  </si>
  <si>
    <t>US20200099556</t>
  </si>
  <si>
    <t>METHOD FOR TRANSMITTING OR RECEIVING FRAME IN WIRELESS LAN SYSTEM AND     APPARATUS THEREFOR</t>
  </si>
  <si>
    <t>16/609169</t>
  </si>
  <si>
    <t>LIM; Dongguk; (Seoul, KR); PARK; Eunsung; (Seoul, KR); CHOI; Jinsoo; (Seoul, KR)</t>
  </si>
  <si>
    <t>H04L 27/2613 20130101;  H04W 88/08 20130101;  H04W 84/12 20130101;  H04L 27/20 20130101;  H04L 5/0053 20130101;  H04W 52/0216 20130101</t>
  </si>
  <si>
    <t>A method for transmitting a physical layer protocol data unit (PPDU) by a     station (STA) in a wireless LAN (WLAN) system according to an embodiment     of the present invention may comprise the steps of: configuring an L-part     including a legacy-short training field (L-STF), a legacy-long training     field (L-LTF), and a legacy-signal field (L-SIG); when a PPDU to be     transmitted by the STA corresponds to a predetermined format, performing     binary phase shift keying (BPSK) modulation on N consecutive symbols     located after the L-SIG, for packet classification; and transmitting the     PPDU including the L-part and the N BPSK-modulated symbols.</t>
  </si>
  <si>
    <t>US20200092797</t>
  </si>
  <si>
    <t>Method and System for Implementing Consumer WiFi Sharing</t>
  </si>
  <si>
    <t>16/194037</t>
  </si>
  <si>
    <t>Lumen Technologies</t>
  </si>
  <si>
    <t>LUMEN CENTURYLINK</t>
  </si>
  <si>
    <t>Gustafson; Pamela K.; (Overland Park, KS); Barnett, JR.; Thomas Charles; (Monroe, LA)</t>
  </si>
  <si>
    <t>H04W 64/003 20130101;  H04W 48/14 20130101;  H04W 4/24 20130101;  H04W 48/16 20130101;  H04M 15/51 20130101;  H04W 48/20 20130101;  H04W 84/045 20130101;  H04W 64/00 20130101</t>
  </si>
  <si>
    <t>Novel tools and techniques are provided for implementing wireless     communications, and, more particularly, to methods, systems, and     apparatuses for implementing consumer WiFi sharing. In various     embodiments, a computing system might receive, from a user device of an     end user, a request to access at least one wireless access point that is     available for wireless communication sharing; might determine a location     of the user device and a location of each wireless access point ("WAP")     among a compiled list of WAPs; might identify at least one WAP among the     WAPs that are within wireless communication range of the user device,     based at least in part on the determined location of the user device and     the location of each of the WAPs, and that are available for sharing,     based on the compiled list of WAPs; and might provide the user device     with access to the identified at least one WAP.</t>
  </si>
  <si>
    <t>US20200092779</t>
  </si>
  <si>
    <t>METHOD AND APPARATUS FOR REPORTING SELECTED PLMN OF RRC-INACTIVE MODE UE     IN NEXT-GENERATION COMMUNICATION SYSTEM</t>
  </si>
  <si>
    <t>16/573003</t>
  </si>
  <si>
    <t>JUNG; Sangyeob; (Suwon-si, KR); AGIWAL; Anil; (Suwon-si, KR); JANG; Jaehyuk; (Suwon-si, KR); SAYENKO; Alexander; (Suwon-si, KR); KIM; Soenghun; (Suwon-si, KR)</t>
  </si>
  <si>
    <t>H04W 36/0011 20130101;  H04W 36/14 20130101;  H04W 76/27 20180201</t>
  </si>
  <si>
    <t>The present disclosure relates to a communication method and system for     converging a 5th-Generation (5G) communication system for supporting     higher data rates beyond a 4th-Generation (4G) system with a technology     for Internet of Things (IoT). The present disclosure may be applied to     intelligent services based on the 5G communication technology and the     IoT-related technology, such as smart home, smart building, smart city,     smart car, connected car, health care, digital education, smart retail,     security and safety services. The method by a user equipment (UE) in a     wireless communication system includes reselecting another equivalent     public land mobile network (PLMN) in an inactive state, transmitting, to     a base station, a radio resource control (RRC) resume request message     including a resume cause configured to mobile originated (mo)-signaling     in case that a radio access network (RAN)-based notification area update     procedure is triggered, and receiving, from the base station, an RRC     resume message.</t>
  </si>
  <si>
    <t>US20200092675</t>
  </si>
  <si>
    <t>Mobile WiFi Network</t>
  </si>
  <si>
    <t>16/393324</t>
  </si>
  <si>
    <t>Comcast Cable Communications</t>
  </si>
  <si>
    <t>COMCAST CABLE COMMUNICATIONS</t>
  </si>
  <si>
    <t>Cook; Michael J.; (Flemington, NJ); Ong; Ivan; (Malvern, PA)</t>
  </si>
  <si>
    <t>H04W 84/18 20130101;  H04W 16/18 20130101;  H04W 24/02 20130101;  H04W 4/023 20130101</t>
  </si>
  <si>
    <t>A method, computer-readable medium, and system are provided for managing     a dynamic wireless network. An aspect of this invention is to identify     the occurrence of an overlap of coverage areas provided by separate     wireless access points, at least one of which is mobile.</t>
  </si>
  <si>
    <t>US20200092279</t>
  </si>
  <si>
    <t>Method for Connecting to Wi-Fi Hotspot Device, Wi-Fi Hotspot Device, and     User Equipment</t>
  </si>
  <si>
    <t>16/694211</t>
  </si>
  <si>
    <t>Zhong; Zhen; (Shenzhen, CN)</t>
  </si>
  <si>
    <t>H04L 63/083 20130101;  H04W 12/08 20130101;  H04W 84/12 20130101;  H04W 12/00522 20190101;  H04W 12/06 20130101;  H04W 12/003 20190101;  H04W 48/14 20130101</t>
  </si>
  <si>
    <t>A method for connecting to a Wi-Fi hotspot device, the Wi-Fi hotspot     device, and a user equipment (UE), where the method includes generating,     by the Wi-Fi hotspot device, a two-dimensional barcode according to Wi-Fi     authentication information, where the two-dimensional barcode includes     the Wi-Fi authentication information, and the Wi-Fi authentication     information is used for authentication prior to connection to the Wi-Fi     hotspot device, and presenting, by the Wi-Fi hotspot device, the     two-dimensional barcode to the UE using a display screen of the Wi-Fi     hotspot device such that the UE may connect to the Wi-Fi hotspot device     according to the two-dimensional barcode.</t>
  </si>
  <si>
    <t>US20200084777</t>
  </si>
  <si>
    <t>METHOD AND SYSTEM FOR ASSIGNING ONE OR MORE OPTIMAL WIRELESS CHANNELS TO A     WI-FI ACCESS POINT USING A CLOUD-BASED SOFTWARE DEFINED NETWORK (SDN)</t>
  </si>
  <si>
    <t>16/569642</t>
  </si>
  <si>
    <t>AMBEENT WIRELESS BILISIM VE YAZILIM A.S</t>
  </si>
  <si>
    <t>AMBEENT WIRELESS BILISIM YAZILIM</t>
  </si>
  <si>
    <t>Ergen; Mustafa; (Istanbul, TR)</t>
  </si>
  <si>
    <t>G06N 20/00 20190101;  H04W 24/02 20130101;  H04W 72/085 20130101;  H04W 72/082 20130101;  H04L 5/0032 20130101;  H04L 41/16 20130101</t>
  </si>
  <si>
    <t>The invention provides a method and system for assigning one or more     optimal wireless channels to a Wi-Fi access point of a plurality of Wi-Fi     access points using a cloud-based orchestrator through a software defined     network (SDN). To start with, RF measurements are collected from a     plurality of client devices in the cloud using a RF measurement module.     The RF measurements include received signal strength indicator (RSSI)     measured by the plurality of client devices and a transmission channel     from connected or nearby Wi-Fi access points. The one or more optimal     wireless channels for the Wi-Fi access point are then derived by solving     a complex optimization problem. This process employs an artificial     intelligence (AI) module integrated with a global continuous optimization     algorithm. The AI module utilizes the collected RF measurements and a     plurality of measured variables for determining the one or more optimal     wireless channels for the Wi-Fi access point using the optimization     formulation.</t>
  </si>
  <si>
    <t>US20200083930</t>
  </si>
  <si>
    <t>SPATIALLY ENABLED SECURE COMMUNICATIONS</t>
  </si>
  <si>
    <t>16/683155</t>
  </si>
  <si>
    <t>Dobyns; Douglas Howard; (Lindon, UT); Abrams; Michael Scott; (Sherborn, MA)</t>
  </si>
  <si>
    <t>G06Q 20/40 20130101;  H04W 4/80 20180201;  H04W 76/16 20180201;  H04W 84/18 20130101;  H04W 12/08 20130101;  H04B 5/0075 20130101;  H05K 999/99 20130101;  H04W 4/021 20130101;  H04W 12/00503 20190101;  H04L 63/107 20130101;  H04W 76/14 20180201;  H04L 63/0492 20130101;  H04L 63/08 20130101;  H04W 84/12 20130101;  H04W 4/06 20130101;  H04B 5/0031 20130101;  H04L 63/0428 20130101</t>
  </si>
  <si>
    <t>Spatially enabled secure communication technologies are disclosed. A     proximity boundary can be defined by a communication range of one or more     SRC devices configured to communicate using near field magnetic induction     (NFMI) using at least two antennas to provide magnetic induction     diversity. Secure data can be selected for NFMI communication on a     spatially secure NFMI data link between the one or more SRC devices.     Non-secure data can be selected for communication on one of a wireless     local area network or a wireless wide area network.</t>
  </si>
  <si>
    <t>US20200083929</t>
  </si>
  <si>
    <t>PROXIMITY BOUNDARY BASED COMMUNICATION</t>
  </si>
  <si>
    <t>16/683143</t>
  </si>
  <si>
    <t>G06Q 20/40 20130101;  H04W 4/80 20180201;  H04W 76/16 20180201;  H04W 84/18 20130101;  H04W 12/08 20130101;  H04B 5/0075 20130101;  H05K 999/99 20130101;  H04W 4/021 20130101;  H04W 12/00503 20190101;  H04L 63/107 20130101;  H04W 76/14 20180201;  H04W 84/12 20130101;  H04L 63/0492 20130101;  H04L 63/08 20130101;  H04W 4/06 20130101;  H04B 5/0031 20130101;  H04L 63/0428 20130101</t>
  </si>
  <si>
    <t>Technology is described for proximity based communications. A proximity     boundary can be defined with dimensions defined, in part, by a     communication range of one of a first Short Range Communication (SRC)     device and a second SRC device. The first SRC device and the second SRC     device can be configured to communicate using near field magnetic     induction (NFMI). A proximity signal can be communicated in the proximity     boundary between the first SRC device and the second SRC device, wherein     at least one of the first and second SRC devices includes at least two     antennas to provide magnetic induction diversity. A security permission     can be provided to enable selected data to be communicated from one or     more of the first SRC device and the second SRC device using NFMI when     the proximity signal is detected between the first SRC device and the     second SRC device.</t>
  </si>
  <si>
    <t>US20200077412</t>
  </si>
  <si>
    <t>Dynamically configurable wireless device supporting multiple concurrent     frequency bands</t>
  </si>
  <si>
    <t>16/554672</t>
  </si>
  <si>
    <t>CELENO COMMUNICATIONS (ISRAEL) LTD.</t>
  </si>
  <si>
    <t>CELENO COMMUNICATIONS</t>
  </si>
  <si>
    <t>Har-Zion; Yuval; (Kadima, IL); Tal; Tsahi; (Tel-Mond, IL); Rapaport; Albert; (Shoham, IL)</t>
  </si>
  <si>
    <t>H04W 36/26 20130101;  H04L 5/0062 20130101;  H04W 84/12 20130101;  H04W 40/04 20130101;  H04W 72/0453 20130101;  H04L 45/302 20130101;  H04W 72/082 20130101</t>
  </si>
  <si>
    <t>A wireless device includes multiple RF chains, one or more processing     modules, a switching circuit and a processor. The RF chains operate in     multiple RF bands, and at least one RF chain is configurable to operate     at a RF band selected from the RF bands. The processing modules are     configurable to process signals communicated with the RF chains. The     switching circuit routes signals between RF chains and processing modules     in accordance with a routing plan. In response to an event that warrants     reconfiguration, the processor re-allocates resources, including (i)     allocating one or more RF chains to respective RF bands, (ii) allocating     one or more processing modules to process signals associated with the RF     bands, and (iii) setting the routing plan to route signals between pairs     of RF chains and processing modules allocated to a common RF band. The     processor communicates wirelessly with remote devices in accordance with     the operational reconfiguration.</t>
  </si>
  <si>
    <t>US20200076063</t>
  </si>
  <si>
    <t>DATA COMMUNICATIONS SYSTEM FOR A VEHICLE</t>
  </si>
  <si>
    <t>16/674017</t>
  </si>
  <si>
    <t>H01Q 21/28 20130101;  H01Q 1/2291 20130101;  H05K 5/0221 20130101;  H05K 7/12 20130101;  H05K 7/186 20130101;  H01Q 1/1207 20130101;  H05K 5/023 20130101;  H01Q 1/243 20130101;  H01Q 1/42 20130101;  H04B 1/38 20130101;  H01Q 1/1221 20130101;  H04B 1/3822 20130101;  H05K 5/0239 20130101;  H01Q 1/24 20130101;  H04B 1/3888 20130101;  H01Q 1/3275 20130101;  H05K 5/0247 20130101</t>
  </si>
  <si>
    <t>A data communications system is disclosed for a vehicle having an     exterior surface and an interior space, the data communications system     including a support frame positionable within the interior space of the     vehicle. A case is movable between an open and a closed position and     includes a mounting system, the case mountable to the exterior surface of     the vehicle via the mounting system. The system includes a power supply     and a router device communicated with the power supply, one or more of     the power supply and the router device mounted to the support frame. An     antenna array is mounted within the case, the antenna array communicated     with the router device, the antenna array including at least two cellular     antennas.</t>
  </si>
  <si>
    <t>US20200067555</t>
  </si>
  <si>
    <t>ANTENNA MODULE</t>
  </si>
  <si>
    <t>16/344614</t>
  </si>
  <si>
    <t>YOKOGAWA ELECTRIC CORPORATION</t>
  </si>
  <si>
    <t>YOKOGAWA ELECTRIC</t>
  </si>
  <si>
    <t>SASAKI; Hirokazu; (Tokyo, JP); HOSOYA; Kensuke; (Tokyo, JP); MIDORIKAWA; Minoru; (Tokyo, JP)</t>
  </si>
  <si>
    <t>H04B 1/3827 20130101;  H04W 88/16 20130101</t>
  </si>
  <si>
    <t>An antenna module which transmits and receives a radio signal via a     wireless network, the antenna module includes an antenna configured to     transmit and receive the radio signal, a circuit configured to convert a     signal received from outside into a radio signal, make the antenna     transmit the converted radio signal, and transmit a signal generated by     processing the radio signal received by the antenna to the outside, a     tubular casing configured to accommodate the circuit to cover a periphery     of the circuit, an antenna accommodator provided at one end of the casing     and configured to accommodate the antenna to allow the antenna to     transmit and receive the radio signal, a connector joined to the casing     and connectable to an external device which transmits and receives a     signal to and from the circuit, a router configured to relay the signal     processed by the circuit, and a gateway configured to communicatively     connect the router and the external device connected to the connector.</t>
  </si>
  <si>
    <t>US20200059752</t>
  </si>
  <si>
    <t>System and Method for Improving Telematics Location Information and     Reliability of E911 Calls</t>
  </si>
  <si>
    <t>16/532994</t>
  </si>
  <si>
    <t>SIRIUS XM RADIO INC.</t>
  </si>
  <si>
    <t>SIRIUS RADIO</t>
  </si>
  <si>
    <t>Marko; Paul; (Pembroke Pines, FL)</t>
  </si>
  <si>
    <t>H04W 64/00 20130101;  H04W 76/50 20180201;  H04W 4/029 20180201;  H04W 4/02 20130101</t>
  </si>
  <si>
    <t>System, devices and methods are provided to automatically initiate an     enhanced 911 (E911) call from a telematics control unit (TCU) (e.g., a     TCU deployed with cellular modem or mobile phone in a vehicle) to an     answering point (e.g. public safety answering point or access point     (PSAP)). A wireless carrier (e.g., mobile service center (MSC)) employs a     positioning determining entity (PDE) and algorithm to improve caller     location determination using information provided by the TCU (e.g., GPS     and dead reckoning information generated at the vehicle) and network     location information when needed, and provides PDE estimated location of     the caller to the PSAP (e.g., using a data channel and optionally a voice     channel) to mitigate errors in TCU location data and reduce potentially     conflicting location information provided to PSAPs from TCUs and wireless     carriers or other phone service providers.</t>
  </si>
  <si>
    <t>US20200059707</t>
  </si>
  <si>
    <t>SYSTEMS AND METHODS FOR BUILDING MULTIPLE GPS TRACKERS FROM A COMMON CORE</t>
  </si>
  <si>
    <t>16/555207</t>
  </si>
  <si>
    <t>FLEX LTD.</t>
  </si>
  <si>
    <t>FLEX</t>
  </si>
  <si>
    <t>Lucrecio; Armando J.; (Fremont, CA); Kilburn; Christopher Bjorn; (Menlo Park, CA)</t>
  </si>
  <si>
    <t>G08G 1/167 20130101;  G08G 1/205 20130101;  H04Q 9/00 20130101;  G06Q 50/28 20130101;  G06Q 50/30 20130101;  G06Q 10/0833 20130101;  G07C 2009/0092 20130101</t>
  </si>
  <si>
    <t>Methods, devices, and systems for tracking an asset are provided. In     particular, a device is provided that includes a processor; a wide-area     network radio; a global positioning system (GPS) receiver; an     accelerometer; and a physical interface. The processor communicates with     two or more sensors via the physical interface. Based on the     communication with the two or more sensors, the processor determines a     type of sensor associated with each of the two or more sensors. The     processor receives first information from a first sensor of the two or     more sensors via the physical interface. The processor determines the     first information received from the first sensor is related to a     significant event. The processor records second information received from     a second sensor of the two or more sensors via the physical interface.</t>
  </si>
  <si>
    <t>US20200045527</t>
  </si>
  <si>
    <t>16/272899</t>
  </si>
  <si>
    <t>H04B 1/3888 20130101;  H04W 4/90 20180201;  G06F 3/017 20130101;  H04W 76/10 20180201</t>
  </si>
  <si>
    <t>US20200036101</t>
  </si>
  <si>
    <t>TACTICAL RADIO SIGNAL BOOSTER APPRATUS AND METHOD</t>
  </si>
  <si>
    <t>16/593188</t>
  </si>
  <si>
    <t>US20200021959</t>
  </si>
  <si>
    <t>VEHICLE COMMUNICATION SYSTEM</t>
  </si>
  <si>
    <t>16/516732</t>
  </si>
  <si>
    <t>TRANSPORTATION IP HOLDINGS, LLC</t>
  </si>
  <si>
    <t>TRANSPORTATION IP</t>
  </si>
  <si>
    <t>Kraeling; Mark Bradshaw; (WEST MELBOURNE, FL); Listoe; Tyler; (Oakbank, CA); Mantelet; Guillaume; (Oakbank, CA); Edie; Earle; (Oakbank, CA); McKay; Andrew; (Oakbank, CA)</t>
  </si>
  <si>
    <t>H04W 36/32 20130101;  H04W 84/10 20130101;  H04W 84/005 20130101;  H04W 4/42 20180201;  H04W 36/14 20130101</t>
  </si>
  <si>
    <t>A vehicle communication system includes a mobile server unit configured     to be operably deployed onboard a first vehicle of a vehicle system. The     mobile server unit includes an antenna, a transceiver, and a controller.     The controller is configured to control the transceiver to establish a     wireless onboard private long term evolution (LTE) network with plural     mobile client units that are located on other vehicles of the vehicle     system, for wireless communications between the vehicles of the vehicle     system, while the vehicle system is moving. The mobile server unit may be     configured to establish the private LTE network in coordination with     other mobile server units that are onboard other vehicles in the vehicle     system, such that a selected one of the mobile server units is designated     as a master server unit for overall control of the private LTE network,     and the other mobile server units are designated as subordinates.</t>
  </si>
  <si>
    <t>US20200021948</t>
  </si>
  <si>
    <t>METHOD AND SYSTEM FOR RADIOLOCATION ASSET TRACKING VIA A MESH NETWORK</t>
  </si>
  <si>
    <t>16/559495</t>
  </si>
  <si>
    <t>ZaiNar, Inc.</t>
  </si>
  <si>
    <t>ZAINAR</t>
  </si>
  <si>
    <t>Kratz; Philip A.; (Redwood City, CA); Jacker; Daniel; (Redwood City, CA)</t>
  </si>
  <si>
    <t>H04W 84/12 20130101;  H04W 84/18 20130101;  H04W 4/029 20180201;  H04L 27/22 20130101</t>
  </si>
  <si>
    <t>A method of determining a reference clock in a mesh network includes     receiving multiple signals, correlating the multiple signals with a local     signal generated by the first node to determine a coarse set of time     differences, refining the coarse set of time differences using a phase of     a carrier signal of the multiple signals to produce a refined set of time     differences, and using the refined set of time differences to define a     reference clock.</t>
  </si>
  <si>
    <t>US20200015156</t>
  </si>
  <si>
    <t>Systems and Methods for Providing Cellular Communication in a Network of     Moving Things, for Example Including a Network of Autonomous Vehicles</t>
  </si>
  <si>
    <t>16/572185</t>
  </si>
  <si>
    <t>Veniam</t>
  </si>
  <si>
    <t>VENIAM</t>
  </si>
  <si>
    <t>Lopes; Diogo; (Aveiro, PT); Condeixa; Tiago; (Aveiro, PT); Matos; Ricardo; (Porto, PT)</t>
  </si>
  <si>
    <t>H04L 67/12 20130101;  H04W 4/40 20180201;  H04W 24/02 20130101;  H04W 88/10 20130101;  H04W 48/18 20130101</t>
  </si>
  <si>
    <t>Systems and methods for integrating and exploiting the availability of     multiple communication technologies in a network of moving things, for     example including a network of autonomous vehicles. As a non-limiting     example, various aspects of this disclosure provide for the flexible     utilization of one or more communication pathways available to nodes in a     vehicle network based, at least in part, on real-time context.</t>
  </si>
  <si>
    <t>US20200006716</t>
  </si>
  <si>
    <t>16/443266</t>
  </si>
  <si>
    <t>Wagoner; James; (Seattle, WA); Livingston; Alex; (Boise, ID)</t>
  </si>
  <si>
    <t>H02J 7/045 20130101;  H01M 2/1022 20130101;  H01M 2/0202 20130101;  H02J 3/382 20130101</t>
  </si>
  <si>
    <t>US20200000209</t>
  </si>
  <si>
    <t>INTEGRATED MODULAR BACKPACK AND UTILITY FRAME PLATFORM AND ELECTRONICS SUB     SYSTEM</t>
  </si>
  <si>
    <t>16/460324</t>
  </si>
  <si>
    <t>STEELE INDUSTRIES II, LLC</t>
  </si>
  <si>
    <t>STEELE INDUSTRIES</t>
  </si>
  <si>
    <t>Steele; Nathan Alan; (Denver, CO)</t>
  </si>
  <si>
    <t>A45F 2004/026 20130101;  A45F 3/04 20130101;  A45F 2003/003 20130101;  A45F 4/06 20130101;  A45C 2013/026 20130101;  A45F 3/06 20130101;  F41H 5/06 20130101;  A45F 3/08 20130101;  A45C 15/00 20130101;  A45F 4/02 20130101</t>
  </si>
  <si>
    <t>A backpack includes a frame system. The frame system has two L-shaped     members, one or more cross bars, and an attachment bar. A pack has a     base, a rear wall, a front wall, two side walls, and a closable lid. The     pack also has shoulder straps disposed at the rear wall and a pair of     elongated channels on the rear wall. The pack removably couples to the     frame system by inserting a long leg of each of the L-shaped members into     the respective elongated channel. When the pack is coupled to the frame,     the base of the pack is supported on two short legs of the L-shaped     members, the frame system is on an exterior of the pack, and the     attachment bar can removably couple to either end of the two L-shaped     members. An insert is sized and shaped to be removably inserted within an     interior volume of the pack.</t>
  </si>
  <si>
    <t>US20190393930</t>
  </si>
  <si>
    <t>PERSONAL ON-THE-MOVE SATELLITE COMMUNICATIONS TERMINAL</t>
  </si>
  <si>
    <t>16/447059</t>
  </si>
  <si>
    <t>OVZON SWEDEN AB</t>
  </si>
  <si>
    <t>OVZON SWEDEN</t>
  </si>
  <si>
    <t>Wahlberg; Per; (Nacka, SE); Eriksson; Martin; (Solna, SE); Lejnell; Kennet; (Ekero, SE)</t>
  </si>
  <si>
    <t>H01Q 3/08 20130101;  G08C 17/02 20130101;  H04B 7/028 20130101;  H04B 7/18517 20130101</t>
  </si>
  <si>
    <t>A satellite communications apparatus including an antenna assembly     having: a directional antenna arranged to receive signals from and     transmit signals to a satellite, an electronic motor arranged to adjust     at least one of a position and orientation of the directional antenna;     and a sensor arranged to detect the position and orientation of the     directional antenna. An RF interface, in communication with the antenna,     is arranged to receive the received signals from the directional antenna.     A controller, in communication with the RF interface, is arranged to: i)     measure a gain associated with the received signals during a first time     interval, ii) receive the detected position and orientation of the     directional antenna during the first time interval, and iii) send a     control signal to the electronic motor to adjust the position and     orientation of the directional antenna to limit a decrease in the     measured gain to less than a threshold.</t>
  </si>
  <si>
    <t>US20190386707</t>
  </si>
  <si>
    <t>SYSTEM AND METHOD FOR COMMUNICATING BETWEEN NEAR FIELD COMMUNICATION     DEVICES WITHIN A TARGET REGION USING NEAR FIELD COMMUNICATION</t>
  </si>
  <si>
    <t>16/216735</t>
  </si>
  <si>
    <t>Dobyns; Douglas Howard; (Lindon, UT)</t>
  </si>
  <si>
    <t>H04W 52/383 20130101;  H04L 49/1584 20130101;  H04W 4/80 20180201;  H04B 5/0031 20130101;  H04B 5/0081 20130101;  H04W 52/46 20130101</t>
  </si>
  <si>
    <t>Systems and methods for communication between near field communication     devices within a target communication region using near field magnetic     induction is disclosed. One method comprises generating a near field     detectable signal at an active node having a power level sufficient to     enable communication with a plurality of near field communication nodes     located within the target communication region. Information is modulated     onto the near field detectable signal using at least one of the near     field communication nodes. The modulated information is detected at the     active node. The information is then relayed on the near field detectable     signal from the active node to at least one of the plurality of near     field communication nodes within the target communication region.</t>
  </si>
  <si>
    <t>US20190380170</t>
  </si>
  <si>
    <t>AD HOC COMMUNICATION NETWORK</t>
  </si>
  <si>
    <t>16/488679</t>
  </si>
  <si>
    <t>Siemens</t>
  </si>
  <si>
    <t>SIEMENS</t>
  </si>
  <si>
    <t>BODE; CHRISTIAN; (BRAUNSCHWEIG, DE); BRO; LARS; (OLSTYKKE, DK); VOSS; MIKAEL; (BERLIN, DE)</t>
  </si>
  <si>
    <t>B61L 27/0005 20130101;  B61L 15/0027 20130101;  B61L 2027/005 20130101;  H04W 84/18 20130101;  B61L 27/0038 20130101;  H04B 10/1143 20130101</t>
  </si>
  <si>
    <t>An ad hoc communication network includes at least one vehicle-side radio     device connected to a vehicle, a plurality of track-side radio devices     installed on a track of the vehicle, and a monitoring and control unit,     which is connected to at least one track-side radio device for     communication. The track-side radio devices communicate, without logical     connection with other track-side radio devices located within the radio     range and with the vehicle-side radio device and forward received data to     other track-side radio devices located within the radio range. At least     two other track-side radio devices are located in each direction along     the track within the radio range of each track-side radio device. The     track-side radio devices transfer received data to the closest and to the     second closest track-side radio device in at least one direction along     the track.</t>
  </si>
  <si>
    <t>US20190372629</t>
  </si>
  <si>
    <t>WIRELESS WIDE AREA NETWORK RADIO FOR A MOBILE TELECOMMUNICATION CELLULAR     NETWORK</t>
  </si>
  <si>
    <t>16/540033</t>
  </si>
  <si>
    <t>H04W 92/02 20130101;  H04L 5/14 20130101;  H04W 16/14 20130101;  H04W 16/26 20130101;  H04W 84/042 20130101;  H04W 88/04 20130101;  H04B 7/0825 20130101;  H04W 84/12 20130101;  H04B 7/0413 20130101;  H04W 88/06 20130101</t>
  </si>
  <si>
    <t>US20190364139</t>
  </si>
  <si>
    <t>Data Communications Backpack</t>
  </si>
  <si>
    <t>16/536414</t>
  </si>
  <si>
    <t>A45F 3/04 20130101;  H04M 2001/0204 20130101;  A45F 2003/003 20130101;  H04M 1/21 20130101;  H04M 1/026 20130101;  H04M 1/0249 20130101</t>
  </si>
  <si>
    <t>US20190343265</t>
  </si>
  <si>
    <t>BACKPACK ACTUATION APPARATUS</t>
  </si>
  <si>
    <t>16/189146</t>
  </si>
  <si>
    <t>Zhijian; Li; (Fuzhou, CN)</t>
  </si>
  <si>
    <t>G11B 20/10 20130101;  A45C 15/06 20130101;  A45F 3/04 20130101;  H01M 2/06 20130101;  G01S 19/35 20130101</t>
  </si>
  <si>
    <t>A backpack actuation apparatus, said backpack remote actuation apparatus     comprising: a bag body having at least one shoulder strap, the at least     one shoulder strap having a cable laying channel and a groove for     accepting an actuation device; wherein the actuation device comprises an     outer shell, an actuation button, a power input port and a printed     circuit board assembly (pcba) inside of the outer shell; wherein the     actuation device is in wireless communication with an electronic device     that takes photos and when the actuation button is actuated communicates     with the electronic device to actuate an action.</t>
  </si>
  <si>
    <t>US20190326674</t>
  </si>
  <si>
    <t>16/296900</t>
  </si>
  <si>
    <t>KANG; Kyung In; (Suwon-si, KR); RYOO; Jeong Ki; (Suwon-si, KR); HAN; Kyu Bum; (Suwon-si, KR)</t>
  </si>
  <si>
    <t>H01L 23/66 20130101;  H01Q 21/28 20130101;  H01L 23/49827 20130101;  H01L 2924/1421 20130101;  H01L 2224/73253 20130101;  H01Q 9/0414 20130101;  H01Q 9/0457 20130101;  H01Q 9/26 20130101;  H01L 24/13 20130101;  H01Q 21/065 20130101;  H01L 2223/6677 20130101;  H01Q 1/523 20130101;  H01Q 1/243 20130101;  H01L 24/73 20130101;  H01Q 19/24 20130101;  H01Q 1/2291 20130101;  H01Q 1/2283 20130101</t>
  </si>
  <si>
    <t>An antenna module includes a ground layer including a through-hole; a     feed via disposed to pass through the through-hole; a patch antenna     pattern spaced apart from the ground layer and electrically connected to     one end of the feed via; a coupling patch pattern spaced apart from the     patch antenna pattern; a first dielectric layer to accommodate the patch     antenna pattern and the coupling patch pattern; a second dielectric layer     to accommodate at least a portion of the feed via and the ground layer;     and electrical connection structures disposed between the first     dielectric layer and the second dielectric layer to separate the first     dielectric layer from the second dielectric layer.</t>
  </si>
  <si>
    <t>US20190326660</t>
  </si>
  <si>
    <t>16/502574</t>
  </si>
  <si>
    <t>H05K 7/12 20130101;  H01Q 21/28 20130101;  H05K 5/0247 20130101;  H05K 5/0221 20130101;  H01Q 1/1207 20130101;  H05K 7/186 20130101;  H01Q 1/2291 20130101;  H05K 5/023 20130101;  H04B 1/38 20130101;  H05K 5/0239 20130101;  H01Q 1/243 20130101</t>
  </si>
  <si>
    <t>A data communications apparatus including a case. A power supply is     secured inside the case. A router device is secured inside the case, the     router device selectively receiving power from the power supply. The     router device includes at least one cellular gateway for wide area     network communication as well as being configured to enable at least one     wireless network for local area network communication. An antenna array     is in electrical communication with the router device, the antenna array     including at least two cellular antennas and at least one wireless     networking antenna. The first pair of cellular antennas are configured to     support multiple input multiple output applications for the at least one     cellular gateway.</t>
  </si>
  <si>
    <t>US20190319351</t>
  </si>
  <si>
    <t>HOST WITH MULTIPLE ANTENNAS</t>
  </si>
  <si>
    <t>15/990765</t>
  </si>
  <si>
    <t>HON HAI PRECISION INDUSTRY CO., LTD.</t>
  </si>
  <si>
    <t>HON HAI PRECISION INDUSTRY</t>
  </si>
  <si>
    <t>WU; TUAN-CHUNG; (New Taipei, TW)</t>
  </si>
  <si>
    <t>H01Q 1/521 20130101;  H01Q 1/523 20130101;  H01Q 9/0421 20130101;  H01Q 1/243 20130101;  H01Q 5/20 20150115;  H01Q 5/307 20150115;  H01Q 1/24 20130101;  H01Q 1/2291 20130101</t>
  </si>
  <si>
    <t>A host with multiple antennas so as to be capable of Wi-Fi and X-box     functioning includes a chassis, and first to fourth antennas. The first     antenna and the second antenna are each on an edge area of a first side     wall of the chassis, the third antenna is located on a second side wall     of the chassis, and the fourth antenna is located on a third side wall of     the chassis. The first side wall is located between the second side wall     and the third side wall, and the second side wall is located opposite to     the third side wall. A separation distance between every two antennas of     the first to fourth antennas is greater than a predetermined distance and     enables isolation requirements for all antenna types to be met.</t>
  </si>
  <si>
    <t>US20190305406</t>
  </si>
  <si>
    <t>16/447228</t>
  </si>
  <si>
    <t>H05K 5/023 20130101;  H01Q 1/1207 20130101;  H01Q 1/243 20130101;  H05K 5/0239 20130101;  H05K 7/12 20130101;  H01Q 1/2291 20130101;  H05K 5/0221 20130101;  H05K 7/186 20130101;  H01Q 21/28 20130101;  H05K 5/0247 20130101;  H04B 1/38 20130101</t>
  </si>
  <si>
    <t>US20190297671</t>
  </si>
  <si>
    <t>16/360874</t>
  </si>
  <si>
    <t>G06F 8/61 20130101;  H04W 16/20 20130101;  H04W 84/12 20130101;  H04W 88/08 20130101;  H04L 41/0809 20130101;  H04W 8/00 20130101;  H04W 24/02 20130101;  G06F 8/65 20130101;  H04W 84/18 20130101</t>
  </si>
  <si>
    <t>US20190297507</t>
  </si>
  <si>
    <t>APPARATUS AND METHODS FOR COMMUNICATING WITH ULTRA-WIDEBAND     ELECTROMAGNETIC WAVES</t>
  </si>
  <si>
    <t>16/441768</t>
  </si>
  <si>
    <t>Barzegar; Farhad; (Branchburg, NJ); Gerszberg; Irwin; (Kendall Park, NJ); Vannucci; Giovanni; (Middletown, NJ); Wolniansky; Peter; (Ocean Grove, NJ); Henry; Paul Shala; (Holmdel, NJ)</t>
  </si>
  <si>
    <t>H04B 3/46 20130101;  H01Q 13/02 20130101;  H01Q 1/46 20130101;  H04B 1/7174 20130101;  H01P 3/16 20130101;  H01Q 23/00 20130101;  H04B 1/719 20130101;  H04B 3/56 20130101;  H01P 5/08 20130101;  H04B 2203/5487 20130101;  H04B 2203/5491 20130101;  H04W 16/26 20130101;  H01P 3/10 20130101;  H04B 3/52 20130101;  H04B 1/7163 20130101;  H01Q 21/20 20130101;  H04J 3/10 20130101;  H01P 5/087 20130101;  H01Q 1/1207 20130101;  H04B 2203/5441 20130101;  H04B 3/32 20130101;  H04B 2203/5479 20130101</t>
  </si>
  <si>
    <t>Aspects of the subject disclosure may include, a system that facilitates     receiving a first group of electromagnetic waves, wherein the first group     of electromagnetic waves propagate along a first span of a transmission     medium without requiring an electrical return path and without traversing     a first supporting device or a second supporting device. The first span     of the transmission medium is supported by the first supporting device     and the second supporting device, and the first group of electromagnetic     waves convey a first communication signal. The first communication signal     is extracted from the first group of electromagnetic waves, and the first     communication signal is transmitted to a communication device. Other     embodiments are disclosed.</t>
  </si>
  <si>
    <t>US20190287377</t>
  </si>
  <si>
    <t>WATER-BORNE BEACON DETECTION SYSTEM FOR MISSING PERSONS</t>
  </si>
  <si>
    <t>16/358510</t>
  </si>
  <si>
    <t>VECTOR FLIGHT LLC</t>
  </si>
  <si>
    <t>VECTOR FLIGHT</t>
  </si>
  <si>
    <t>Gillum; Eliot; (Mountain View, CA); Lau; Kevin Ho Wing; (San Jose, CA)</t>
  </si>
  <si>
    <t>H04W 64/00 20130101;  H04W 84/12 20130101;  G08B 21/0272 20130101;  H04W 76/10 20180201;  H04W 76/11 20180201;  B64D 47/08 20130101;  G01S 19/17 20130101;  H04W 4/90 20180201;  G08B 21/0275 20130101;  G08B 21/088 20130101;  G01S 19/51 20130101;  G08B 25/004 20130101;  H04W 52/028 20130101;  H04W 52/0229 20130101;  G01S 5/0072 20130101;  G01S 5/02 20130101;  G08B 5/36 20130101;  G08B 25/016 20130101;  B64C 39/024 20130101</t>
  </si>
  <si>
    <t>A processor enabled method in a mobile device includes configuring a WiFi     radio controller of the mobile device with a WiFi service set identifier     of a search detector and configuring a Bluetooth connection configuration     of a search detector. The method also includes responsive to a rescue     trigger, enabling the device to exit a low power mode while awaiting a     connection attempt from a Bluetooth radio via the configured Bluetooth     connection configuration. The method also includes upon receiving the     connection attempt, powering up the WiFi radio and attempting to connect     to the configured WiFi service set identifier.</t>
  </si>
  <si>
    <t>US20190281483</t>
  </si>
  <si>
    <t>PORTABLE AUTONOMOUS VEHICLE CONNECTIVITY PLATFORM</t>
  </si>
  <si>
    <t>15/918554</t>
  </si>
  <si>
    <t>Wing Aviation (Alphabet)</t>
  </si>
  <si>
    <t>WING AVIATION</t>
  </si>
  <si>
    <t>Chalmer; Jeremy; (Redwood City, CA); Hilton; Jason; (Mountain View, CA); Minahan; Jason; (Mountain View, CA)</t>
  </si>
  <si>
    <t>G08G 5/0004 20130101;  H04W 84/12 20130101;  H04W 24/10 20130101;  H04W 76/10 20180201</t>
  </si>
  <si>
    <t>A portable autonomous vehicle connectivity platform includes a portable case, a local area network (LAN) side adapter, a wide area network (WAN) side adapter, a gateway router, and a controller. The LAN side adapter is communicates with autonomous vehicles (AVs). The WAN side adapter communicates with a remote server. The gateway router bridges communications between the LAN side adapter and the WAN side adapter. The controller is coupled to the gateway router for caching mission log reports received from the AVs and transmitting the mission log reports to the remote server.</t>
  </si>
  <si>
    <t>US20190261749</t>
  </si>
  <si>
    <t>Solar Power Conversion Kit for Umbrella</t>
  </si>
  <si>
    <t>16/412385</t>
  </si>
  <si>
    <t>ZON</t>
  </si>
  <si>
    <t>Akin; Sarah; (Manhattan Beach, CA); Johnson; David; (San Francisco, CA)</t>
  </si>
  <si>
    <t>A45B 2200/109 20130101;  Y10T 29/49169 20150115;  A45B 2023/0012 20130101;  H01L 31/042 20130101;  H02J 50/80 20160201;  A45B 2200/1027 20130101;  H02J 50/40 20160201;  Y10T 29/49117 20150115;  A45B 25/02 20130101;  H02J 7/0045 20130101;  H02J 7/35 20130101;  A45B 2200/1018 20130101;  A45B 2023/0037 20130101;  H02J 50/12 20160201;  H02J 2007/0062 20130101;  A45B 2200/1054 20130101;  H02J 7/0047 20130101;  Y10T 29/4984 20150115;  A45B 23/00 20130101;  A45B 2025/003 20130101;  H02J 7/0027 20130101;  H02J 7/0052 20130101;  H02J 7/355 20130101;  Y10T 29/49004 20150115;  A45B 3/00 20130101;  B23P 15/26 20130101;  Y02E 10/50 20130101;  H02S 30/20 20141201;  A45B 2200/1063 20130101;  H02J 7/025 20130101;  H02J 2007/0001 20130101;  Y10T 29/49355 20150115</t>
  </si>
  <si>
    <t>A solar power conversion kit allows converting of a standard umbrella     into a solar charging umbrella, which can then use solar power to charge     electronic devices. The solar charging umbrella is self-sustained,     capable of charging electronic devices in locations away from electrical     outlets. The umbrella has a rechargeable battery that is recharged by     sunlight. When charged, the umbrella's battery can charge devices when     sunlight is not available. The umbrella supports simultaneous charging of     higher power devices such as tablet computers.</t>
  </si>
  <si>
    <t>US20190253314</t>
  </si>
  <si>
    <t>PORTABLE OUTDOOR CONSTRUCTION SITE DATA CENTER</t>
  </si>
  <si>
    <t>16/274234</t>
  </si>
  <si>
    <t>SMART BARREL, INC.</t>
  </si>
  <si>
    <t>SMART BARREL</t>
  </si>
  <si>
    <t>BOU FADEL; ALBERT; (MIAMI BEACH, FL)</t>
  </si>
  <si>
    <t>G06K 9/00228 20130101;  G06K 9/00288 20130101;  G06K 9/6274 20130101;  H04L 41/22 20130101;  H04W 84/005 20130101;  H04W 84/18 20130101;  H04L 41/0806 20130101</t>
  </si>
  <si>
    <t>A portable construction site data center for off-site monitoring and     supervision of construction sites and for on-site construction worker     interface. The portable construction site data center has a housing that     is resistant to outdoor elements, with a mounting platform for supporting     the housing on any common construction site fixture such as a safety     barrel or drum. The housing has dimensions and a weight that enable     portability for hand carry. The housing has a keyboard, a display, a     camera, interactive color LEDs, and an RFID transponder for worker     interface, and a CPU with memory to process the worker interface data. A     battery and solar cell power the system. An antenna allows the system to     access to Wi-Fi, Bluetooth, and cellular network signals thus enabling     the system to access, via the internet, remote and local digital devices.</t>
  </si>
  <si>
    <t>US20190231047</t>
  </si>
  <si>
    <t>SECURE PORTABLE ENCASEMENT</t>
  </si>
  <si>
    <t>16/381067</t>
  </si>
  <si>
    <t>EVERSAFE TECHNOLOGIES LIMITED</t>
  </si>
  <si>
    <t>EVERSAFE</t>
  </si>
  <si>
    <t>McLEAN; HUGH DAVID GEOFFREY; (Scarva, GB); English; Niall; (Dublin, IE)</t>
  </si>
  <si>
    <t>A45C 13/18 20130101;  A45C 13/20 20130101;  A45F 3/04 20130101;  A47B 81/00 20130101;  A47B 81/005 20130101;  A47B 2220/0091 20130101;  E05B 37/02 20130101;  E05B 47/0012 20130101;  E05B 65/0075 20130101;  E05B 65/52 20130101;  E05B 73/00 20130101;  E05B 73/0005 20130101;  E05B 73/0011 20130101;  E05B 2047/0023 20130101;  E05B 2047/0094 20130101;  E05G 1/08 20130101;  F41C 33/06 20130101;  G07C 9/00071 20130101;  G07C 9/00111 20130101;  G07C 9/00182 20130101;  G07C 9/00563 20130101;  G07C 2009/00769 20130101</t>
  </si>
  <si>
    <t>A conveniently enabled securement system including a portable encasement     such as a backpack having locking and security features. The portable     secure encasement is configured for transporting goods from place to     place while ensuring their security throughout, while having a simple and     efficient configuration for securing the contents within the encasement     and optionally for securing the encasement itself at each location     travelled to.</t>
  </si>
  <si>
    <t>US20190207416</t>
  </si>
  <si>
    <t>PORTABLE POWER SUPPLY</t>
  </si>
  <si>
    <t>16/229451</t>
  </si>
  <si>
    <t>WORLDWIDE ENERGY, INC. OF DELAWARE</t>
  </si>
  <si>
    <t>WORLDWIDE ENERGY</t>
  </si>
  <si>
    <t>ELLIS; Raymond; (Monroe, MI)</t>
  </si>
  <si>
    <t>G06F 1/263 20130101;  H02J 1/10 20130101;  H02J 9/061 20130101;  H02J 2003/001 20130101;  H02M 7/003 20130101</t>
  </si>
  <si>
    <t>A mobile power supply unit includes a base and a housing including at     least one housing member secured to the base and movable relative to the     base. The mobile power supply unit further includes a generator disposed     within the housing, and a battery disposed within the housing. The mobile     power supply unit further includes an inverter electrically connected to     the generator and the battery, and an electronics enclosure including an     electrical port, and a transfer switch electrically connected to the     inverter and adapted to provide power through the electrical port. The     mobile power supply unit further includes a portable transfer switch     having a first electrical cable selectively electrically connectable to     the electrical port and a second electrical cable selectively     electrically connectable with a power receptacle of a building.</t>
  </si>
  <si>
    <t>US20190173525</t>
  </si>
  <si>
    <t>ACCESS POINT AND METHODS FOR COMMUNICATING WITH GUIDED ELECTROMAGNETIC     WAVES</t>
  </si>
  <si>
    <t>16/269894</t>
  </si>
  <si>
    <t>H04B 3/544 20130101;  H01P 3/16 20130101;  H04W 56/0025 20130101;  H04W 92/20 20130101;  H04B 3/58 20130101;  H01P 5/04 20130101;  H01Q 1/46 20130101;  H04B 3/56 20130101;  H04L 12/6418 20130101</t>
  </si>
  <si>
    <t>In accordance with one or more embodiments, an access point includes a     first communication interface having: a first coupler configured to     receive, via a first transmission medium, first guided electromagnetic     waves from a first waveguide system of a distributed antenna system,     wherein the first guided electromagnetic waves propagate along the first     transmission medium without requiring an electrical return path; and also     a first receiver configured to receive first data from the first guided     electromagnetic waves. A data switch is configured to select first     selected portions of the first data for transmission to at least one     communication device in proximity to the access point.</t>
  </si>
  <si>
    <t>US20190158146</t>
  </si>
  <si>
    <t>ACCESS POINT AND METHODS FOR USE IN A RADIO DISTRIBUTED ANTENNA SYSTEM</t>
  </si>
  <si>
    <t>16/254135</t>
  </si>
  <si>
    <t>H04B 3/56 20130101;  H01Q 13/24 20130101;  H01Q 13/0208 20130101;  H01Q 13/0258 20130101;  H04B 2203/5487 20130101;  H01Q 21/205 20130101;  H04B 3/36 20130101;  H04B 3/58 20130101;  H01Q 13/0233 20130101;  H01Q 21/064 20130101;  H01Q 13/10 20130101</t>
  </si>
  <si>
    <t>In accordance with one or more embodiments, an access point includes a     communication interface having: a coupler configured to receive, via a     transmission medium, first guided electromagnetic waves from a     communication node of a radio distributed antenna system, wherein the     first guided electromagnetic waves propagate along the transmission     medium without requiring an electrical return path; and also a receiver     configured to receive first data from the first guided electromagnetic     waves. A data switch is configured to select first selected portions of     the first data for transmission to at least one communication device in     proximity to the access point.</t>
  </si>
  <si>
    <t>US20190157885</t>
  </si>
  <si>
    <t>PORTABLE ELECTRICAL ENERGY STORAGE AND POWER PROCESSING DEVICE</t>
  </si>
  <si>
    <t>16/254430</t>
  </si>
  <si>
    <t>WHISPER ENERGY SYSTEMS INC.</t>
  </si>
  <si>
    <t>WHISPER ENERGY SYSTEMS</t>
  </si>
  <si>
    <t>Rippel; Wally E.; (Sherman Oaks, CA); Gould; Michael; (Sherman Oaks, CA); Jensen; Brian; (Sherman Oaks, CA)</t>
  </si>
  <si>
    <t>H02J 7/0042 20130101;  H02J 7/0065 20130101;  H02J 2007/0059 20130101;  H02M 3/158 20130101;  H02M 7/797 20130101;  H02M 1/32 20130101;  H02J 7/0072 20130101</t>
  </si>
  <si>
    <t>A portable power unit is provided that can be embodied in backpack,     waist-pack, or other portable form. The portable power unit can include a     battery, a bidirectional power processor, and a power port. The     bidirectional power processor allows for direct current (DC) power     exchange between the battery and the bidirectional power processor and a     user selectable alternating current (AC) or DC power exchange between the     bidirectional power processor and a power port through which a power     source and an external load can be connected for charging and discharging     of the electrochemical battery, respectively.</t>
  </si>
  <si>
    <t>US20190150072</t>
  </si>
  <si>
    <t>ACCESS POINT AND METHODS FOR COMMUNICATING RESOURCE BLOCKS WITH GUIDED     ELECTROMAGNETIC WAVES</t>
  </si>
  <si>
    <t>15/813704</t>
  </si>
  <si>
    <t>H04W 48/16 20130101;  H04W 56/001 20130101;  H04W 24/02 20130101;  H04B 3/52 20130101;  H04W 84/045 20130101;  H02P 29/40 20160201;  H04W 92/20 20130101</t>
  </si>
  <si>
    <t>In accordance with one or more embodiments, an access point includes a     first communication interface that receives, first guided electromagnetic     waves from a first waveguide system wherein the first guided     electromagnetic waves convey a first plurality of resource blocks     containing first data. A data switch selects first selected portions of     the first data corresponding to a first subset of the first plurality of     resource blocks for transmission to at least one communication device in     proximity to the access point and select second selected portions of the     first data corresponding to a second subset of the first plurality of     resource blocks by omitting the first subset from the first plurality of     resource blocks. A second communication interface generates second guided     electromagnetic waves conveying the second selected portions of the first     data to facilitate reuse of the first subset of the first plurality of     resource blocks by a second waveguide system.</t>
  </si>
  <si>
    <t>US20190149194</t>
  </si>
  <si>
    <t>15/813583</t>
  </si>
  <si>
    <t>US20190140691</t>
  </si>
  <si>
    <t>APPARATUS AND METHODS FOR PROCESSING ULTRA-WIDEBAND ELECTROMAGNETIC WAVES</t>
  </si>
  <si>
    <t>16/237978</t>
  </si>
  <si>
    <t>H04B 1/7163 20130101;  H01Q 13/02 20130101;  H04B 3/52 20130101;  H04B 1/71637 20130101;  H04B 1/7176 20130101;  H04B 2203/5479 20130101;  H04B 3/542 20130101;  H04B 2203/5441 20130101;  H04B 1/719 20130101</t>
  </si>
  <si>
    <t>Aspects of the subject disclosure may include, a system that facilitates     receiving a plurality of ultra-wideband electromagnetic waves that     propagates along a surface of a transmission medium without requiring an     electrical return path, wherein the plurality of ultra-wideband     electromagnetic waves conveys a plurality of communication signals,     obtaining, from the plurality of ultra-wideband electromagnetic waves, at     least one communication signal from the plurality of communication     signals, and distributing the at least one communication signal to at     least one communication device. Other embodiments are disclosed.</t>
  </si>
  <si>
    <t>US20190133303</t>
  </si>
  <si>
    <t>16/241668</t>
  </si>
  <si>
    <t>F41H 1/02 20130101;  A45C 2013/025 20130101;  H02J 7/0054 20130101;  H02J 7/34 20130101;  H02J 50/10 20160201;  H02J 50/20 20160201;  H01L 31/048 20130101;  H02S 10/40 20141201;  H02S 40/34 20141201;  A45F 3/06 20130101;  A41D 2300/322 20130101;  H01M 2/1005 20130101;  H01M 10/465 20130101;  A41D 1/04 20130101;  A41D 27/205 20130101;  A41D 27/201 20130101;  A41D 1/002 20130101;  H02J 7/355 20130101;  H02S 30/20 20141201;  A45F 2200/0508 20130101;  A45F 2200/0516 20130101;  A45F 2200/0525 20130101;  A45F 2200/0533 20130101;  A45F 2003/003 20130101;  H01M 2220/30 20130101;  A45F 3/047 20130101;  A45C 13/02 20130101;  A45F 3/04 20130101;  H02J 7/0047 20130101</t>
  </si>
  <si>
    <t>US20190129468</t>
  </si>
  <si>
    <t>OUTER CASES FOR COMPUTING DEVICES</t>
  </si>
  <si>
    <t>16/092117</t>
  </si>
  <si>
    <t>HP</t>
  </si>
  <si>
    <t>Hewlett-Packard</t>
  </si>
  <si>
    <t>YUEN; HANG YAN; (FORT COLLINS, CO); MAZURKIEWICZ; PAUL HOWARD; (FORT COLLINS, CO); HE; HUI; (FORT COLLINS, CO)</t>
  </si>
  <si>
    <t>A45F 2200/0525 20130101;  G06F 1/1628 20130101;  A45C 2013/025 20130101;  G06F 1/163 20130101;  A45F 3/04 20130101;  A45F 2003/003 20130101;  G06F 1/203 20130101;  G06F 2200/201 20130101;  G06F 1/20 20130101;  A45C 13/02 20130101</t>
  </si>
  <si>
    <t>In some examples, a wearable system includes an outer case defining an     inner chamber and comprising a portion including a liquid resistant and     breathable layer. The wearable system further includes a computing device     in the inner chamber, and an airflow generator to produce an airflow to     cool the computing device and to direct a resulting heated airflow to     flow through pores of the liquid resistant and breathable layer to an     environment outside the outer case.</t>
  </si>
  <si>
    <t>US20190109349</t>
  </si>
  <si>
    <t>SYSTEM FOR SUPPLYING POWER TO A PORTABLE BATTERY USING AT LEAST ONE SOLAR PANEL</t>
  </si>
  <si>
    <t>16/220616</t>
  </si>
  <si>
    <t>H01M 10/465 20130101;  H01M 2/1022 20130101;  H01M 2/1094 20130101;  H02J 7/355 20130101;  H02S 30/20 20141201;  H02S 40/38 20141201;  A41D 1/04 20130101;  A41D 1/002 20130101;  H01M 2220/30 20130101;  F41H 1/02 20130101</t>
  </si>
  <si>
    <t>A system for supplying power to a portable battery pack including a battery enclosed by a wearable and replaceable pouch or skin using at least one solar panel is disclosed, wherein the pouch or skin can be provided in different colors and/or patterns. Further, the pouch or skin can be MOLLE-compatible. The battery comprises a battery element housed between a battery cover and a back plate, wherein the battery element, battery cover, and back plate have a slight curvature or contour. Further, the battery comprises flexible leads.</t>
  </si>
  <si>
    <t>US20190104420</t>
  </si>
  <si>
    <t>16/129302</t>
  </si>
  <si>
    <t>H01Q 1/46 20130101;  H04J 3/10 20130101;  H04W 16/26 20130101;  H01P 3/10 20130101;  H04B 1/719 20130101;  H04B 1/7174 20130101;  H04B 3/52 20130101;  H04B 3/32 20130101;  H04B 3/56 20130101;  H04B 3/46 20130101;  H01Q 21/20 20130101;  H01Q 23/00 20130101;  H01Q 13/02 20130101;  H01P 3/16 20130101;  H01P 5/087 20130101;  H01Q 1/1207 20130101;  H04B 2203/5487 20130101;  H04B 2203/5441 20130101;  H04B 2203/5479 20130101;  H04B 2203/5491 20130101;  H01P 5/08 20130101;  H04B 1/7163 20130101</t>
  </si>
  <si>
    <t>Aspects of the subject disclosure may include, a system that facilitates     receiving a modulated signal in a spectral segment for communicating with     a communication device, wherein the modulated signal conforms to a     signaling protocol, generating a plurality of ultra-wideband     electromagnetic waves, wherein the plurality of ultra-wideband     electromagnetic waves conveys the modulated signal without modifying the     signaling protocol, and transmitting the plurality of ultra-wideband     electromagnetic waves via a transmission medium, wherein the plurality of     ultra-wideband electromagnetic waves is directed to another system. Other     embodiments are disclosed.</t>
  </si>
  <si>
    <t>US20190104419</t>
  </si>
  <si>
    <t>APPARATUS AND METHODS FOR DISTRIBUTING A COMMUNICATION SIGNAL OBTAINED     FROM ULTRA-WIDEBAND ELECTROMAGNETIC WAVES</t>
  </si>
  <si>
    <t>15/724889</t>
  </si>
  <si>
    <t>H04W 16/26 20130101;  H04J 3/10 20130101;  H04B 1/719 20130101;  H04B 1/7174 20130101;  H04B 3/52 20130101;  H04B 3/32 20130101;  H04B 3/56 20130101;  H04B 3/46 20130101;  H01Q 21/20 20130101;  H01Q 23/00 20130101;  H01Q 13/02 20130101;  H01P 3/16 20130101;  H01P 5/087 20130101;  H04W 88/08 20130101;  H01Q 1/1207 20130101;  H04B 2203/5487 20130101;  H04B 2203/5441 20130101;  H04B 2203/5479 20130101;  H04B 2203/5491 20130101;  H01P 3/10 20130101;  H01P 5/08 20130101</t>
  </si>
  <si>
    <t>Aspects of the subject disclosure may include, an access point that     facilitates receiving from a system a modulated signal in a first     spectral segment, wherein the system is configured to receive a plurality     of ultra-wideband electromagnetic waves via a transmission medium and     extract the modulated signal in the first spectral segment from a     plurality of modulated signals conveyed by the plurality of     ultra-wideband electromagnetic waves, and wherein the plurality of     ultra-wideband electromagnetic waves operates in a second spectral     segment that differs from the first spectral segment, and transmitting     the modulated signal in the first spectral segment to a communication     device. Other embodiments are disclosed.</t>
  </si>
  <si>
    <t>US20190104012</t>
  </si>
  <si>
    <t>APPARATUS AND METHODS FOR MITIGATING A FAULT THAT ADVERSELY AFFECTS     ULTRA-WIDEBAND TRANSMISSIONS</t>
  </si>
  <si>
    <t>15/724907</t>
  </si>
  <si>
    <t>H04L 41/0668 20130101;  H04B 3/542 20130101;  H04B 17/17 20150115;  H04B 2203/5441 20130101;  H04B 2203/5479 20130101</t>
  </si>
  <si>
    <t>Aspects of the subject disclosure may include, a system that facilitates     transmitting a plurality of ultra-wideband electromagnetic waves that     propagates along a surface of a first transmission medium without     requiring an electrical return path, wherein the first plurality of     ultra-wideband electromagnetic waves conveys a plurality of communication     signals, detecting an attenuation in the plurality of ultra-wideband     electromagnetic waves that affects a propagation of the plurality of     ultra-wideband electromagnetic waves along the first surface of the first     transmission medium, and responsive to the detecting, redirecting at     least a portion of the plurality of ultra-wideband electromagnetic waves     to an interface of a second transmission medium. Other embodiments are     disclosed.</t>
  </si>
  <si>
    <t>US20190103658</t>
  </si>
  <si>
    <t>DATA COMMUNICATIONS CASE HAVING AN INTERNAL ANTENNA ARRAY</t>
  </si>
  <si>
    <t>16/190413</t>
  </si>
  <si>
    <t>H01Q 1/243 20130101;  H04B 1/38 20130101;  H05K 5/0247 20130101;  H05K 7/186 20130101;  H01Q 1/2291 20130101;  H05K 5/023 20130101;  H05K 7/12 20130101;  H05K 5/0221 20130101;  H01Q 21/28 20130101;  H05K 5/0239 20130101;  H01Q 1/1207 20130101</t>
  </si>
  <si>
    <t>A data communications apparatus including a case having a base and a lid     connectable to the base, the lid movable with respect to the base between     an open position and a closed position. The case has an inner surface. A     power supply is secured inside the case. A router device is secured     inside the case, the router device selectively receiving power from the     power supply. An antenna array is in electrical communication with the     router device, the antenna array including at least two cellular antennas     and at least two wireless networking antennas.</t>
  </si>
  <si>
    <t>US20190097445</t>
  </si>
  <si>
    <t>WEARABLE MULTIFUNCTION POWER BANK</t>
  </si>
  <si>
    <t>16/147843</t>
  </si>
  <si>
    <t>Doorandish; Seyed Mehdi; (Canoga Park, CA)</t>
  </si>
  <si>
    <t>H02J 7/0063 20130101;  H02J 7/35 20130101;  H02J 7/0054 20130101;  H05K 5/0086 20130101;  H05K 7/2039 20130101;  A45F 5/021 20130101;  A45F 2200/0516 20130101</t>
  </si>
  <si>
    <t>A wearable multifunction power bank includes a flexible belt, a     rechargeable power source contained within the flexible belt, and one or     more electrical modules attached to the belt. The wearable power bank may     also include a communications circuit configured to communicate with the     one or more electrical modules or other external devices. The one or more     electrical modules may be removably attached and modular. The     rechargeable power source may be recharged from power generated through     the user's motion, such as power generated from the user's walking steps.</t>
  </si>
  <si>
    <t>US20190089419</t>
  </si>
  <si>
    <t>ANTENNA SYSTEM LOADED IN VEHICLE</t>
  </si>
  <si>
    <t>16/082915</t>
  </si>
  <si>
    <t>KIM; Yongkon; (Seoul, KR); PARK; Jongsun; (Seoul, KR); JEONG; Sunin; (Seoul, KR)</t>
  </si>
  <si>
    <t>H01Q 1/002 20130101;  H01Q 9/0407 20130101;  H01Q 25/00 20130101;  H01Q 1/2283 20130101;  H01Q 1/325 20130101;  H01Q 1/3275 20130101;  H01Q 21/29 20130101;  H01Q 21/065 20130101;  H01Q 21/205 20130101;  H01Q 1/521 20130101;  H01Q 25/04 20130101;  H01Q 21/28 20130101;  H04B 7/0617 20130101;  H04B 7/0404 20130101</t>
  </si>
  <si>
    <t>An antenna system loaded in a vehicle according to the present invention     includes a first antenna system to perform beamforming by a plurality of     first communication antenna elements disposed to transmit and receive a     first signal according to a first communication system, and a second     antenna system to perform a Multi Input Multi Output (MIMO) by a     plurality of second communication antenna elements disposed to transmit     and receive a second signal according to a second communication system,     whereby a plurality of communication services can be provided through a     flat vehicle antenna having beamforming array antennas capable of     providing next generation communication services and MIMO antennas     capable of providing existing mobile communication services.</t>
  </si>
  <si>
    <t>US20190081493</t>
  </si>
  <si>
    <t>Portable Power Case</t>
  </si>
  <si>
    <t>16/191058</t>
  </si>
  <si>
    <t>H01M 2/1005 20130101;  H02J 7/0042 20130101;  H01M 2/1061 20130101;  H01M 2/1094 20130101;  H01M 4/5825 20130101;  H01M 10/0525 20130101;  H01M 10/425 20130101;  H01M 2220/30 20130101;  H01M 10/658 20150401;  H05K 5/0047 20130101;  H05K 5/023 20130101;  H05K 5/0239 20130101;  H05K 5/0247 20130101;  H02J 2007/0098 20130101;  H05K 7/1427 20130101;  H05K 5/0086 20130101;  H02J 7/0052 20130101;  H02J 2007/0062 20130101;  H05K 5/0217 20130101;  H01M 2/1022 20130101</t>
  </si>
  <si>
    <t>Systems, methods, and articles for a portable power case are disclosed.     The portable power case is comprised of at least one battery and at least     one PCB. The portable power case has at least one USB port and at least     two access ports, at least two leads, or at least one access port and at     least one lead. The portable power case is operable to supply power to an     amplifier, a radio, a wearable battery, a mobile phone, and a tablet. The     portable power case is operable to be charged using solar panels, vehicle     batteries, AC adapters, non-rechargeable batteries, and generators. The     portable power case provides for modularity that allows the user to     disassemble and selectively remove the batteries installed within the     portable power case housing.</t>
  </si>
  <si>
    <t>US20190081396</t>
  </si>
  <si>
    <t>Electronic Device Antennas Having Split Return Paths</t>
  </si>
  <si>
    <t>15/701239</t>
  </si>
  <si>
    <t>Qualcomm</t>
  </si>
  <si>
    <t>QUALCOMM</t>
  </si>
  <si>
    <t>Zhou; Yijun; (Mountain View, CA); Wang; Yiren; (Santa Clara, CA); Edwards; Jennifer M.; (San Francisco, CA); Xu; Hao; (Cupertino, CA); Pascolini; Mattia; (San Francisco, CA)</t>
  </si>
  <si>
    <t>H01Q 3/34 20130101;  H01Q 23/00 20130101;  H05K 5/0247 20130101;  H05K 5/0017 20130101;  H01Q 1/42 20130101;  H04M 1/02 20130101;  H01Q 1/243 20130101;  H01Q 9/42 20130101;  H01Q 13/103 20130101;  H01Q 21/30 20130101;  H01Q 5/328 20150115;  H01Q 3/44 20130101</t>
  </si>
  <si>
    <t>An electronic device may be provided with wireless circuitry and control     circuitry. The wireless circuitry may include multiple antennas and     transceiver circuitry. An antenna in the electronic device may have an     inverted-F antenna resonating element formed from portions of a     peripheral conductive electronic device housing structure and may have an     antenna ground that is separated from the antenna resonating element by a     gap. A split return path may bridge the gap. The split return path may be     coupled between a first point on the inverted-F antenna resonating     element arm and second and third points on the antenna ground. The split     return path may include a first inductor coupled between the first and     second points and a second inductor coupled between the first and third     points. The first and second inductors may be adjustable.</t>
  </si>
  <si>
    <t>US20190081394</t>
  </si>
  <si>
    <t>Electronic Device Antennas Including Conductive Display Structures</t>
  </si>
  <si>
    <t>15/701250</t>
  </si>
  <si>
    <t>Edwards; Jennifer M.; (San Francisco, CA); Zhou; Yijun; (Mountain View, CA); Wang; Yiren; (Santa Clara, CA); Xu; Hao; (Cupertino, CA); Tsai; Ming-Ju; (Sunnyvale, CA); Pascolini; Mattia; (San Francisco, CA)</t>
  </si>
  <si>
    <t>H01Q 1/48 20130101;  H01Q 1/44 20130101;  H01Q 23/00 20130101;  H05K 5/0247 20130101;  H04M 1/02 20130101;  H01Q 1/243 20130101;  H01Q 9/42 20130101;  H04M 1/0266 20130101;  H05K 5/0017 20130101</t>
  </si>
  <si>
    <t>An electronic device may be provided with wireless circuitry and control     circuitry. The wireless circuitry may include multiple antennas and     transceiver circuitry. An antenna in the electronic device may have an     inverted-F antenna resonating element formed from portions of a     peripheral conductive electronic device housing structure and may have an     antenna ground that is separated from the antenna resonating element by a     gap. The antenna ground for the antenna may include a conductive frame     for the display. The conductive frame may have a first portion that is     separated from the antenna resonating element arm by a first distance and     a second portion that is that is separated from the antenna resonating     element arm by a second distance that is less than the first distance.     The second portion may be configured to form a distributed impedance     matching capacitance with the antenna resonating element arm.</t>
  </si>
  <si>
    <t>US20190076844</t>
  </si>
  <si>
    <t>MODULAR MOBILE FIELD-DEPLOYABLE LABORATORY FOR RAPID, ON-SITE DETECTION     AND ANALYSIS OF BIOLOGICAL TARGETS</t>
  </si>
  <si>
    <t>16/185178</t>
  </si>
  <si>
    <t>MRIGLOBAL</t>
  </si>
  <si>
    <t>Jacobs; Jonathan L.; (Rockville, MD); Russell; Joseph A.; (Arlington, VA); Aspinwall; Jacob R.; (Palm Bay, FL)</t>
  </si>
  <si>
    <t>B01L 9/02 20130101;  A45F 2003/003 20130101;  A45F 4/02 20130101;  B01L 2200/028 20130101;  B01L 2200/087 20130101;  B01L 2200/04 20130101;  B01L 2300/0618 20130101;  B01L 2200/10 20130101;  B01L 2200/18 20130101;  B01L 2300/027 20130101;  B01L 1/52 20190801;  A45C 5/04 20130101;  A45C 5/14 20130101;  A45C 7/005 20130101;  A45F 3/04 20130101;  A45C 2009/002 20130101;  C12Q 1/686 20130101</t>
  </si>
  <si>
    <t>A mobile field-deployable laboratory to more conveniently enable the     detecting, sequencing and analyzing of biological agents at the     point-of-need. This device enables field operators to go from sample to     actionable information in the field without the need for an internet     connection or grid-based power. The present mobile laboratory is     configured in a footlocker configuration including a plurality of     different compartments specifically configured for holding all of the     necessary equipment for use in a wide variety of different applications     including successfully extracting, amplifying, sequencing and     characterizing specific viruses, pathogens and other bacteria directly in     the field including an integrated power supply for providing power to the     relevant components for up to 72 hours of continuous use without the need     for any external power source. The present mobile laboratory includes a     deployable workbench area which provides a stable workstation when the     footlocker configuration is deployed.</t>
  </si>
  <si>
    <t>US20190074872</t>
  </si>
  <si>
    <t>EXTENDED RANGE WIRELESS INTER-NETWORKING SYSTEM AND DEVICE</t>
  </si>
  <si>
    <t>16/183071</t>
  </si>
  <si>
    <t>H04W 88/06 20130101;  H04W 84/12 20130101;  H04W 84/042 20130101;  H04L 5/14 20130101;  H04B 7/0825 20130101;  H04W 16/14 20130101;  H04W 16/26 20130101;  H04W 92/02 20130101;  H04B 7/0413 20130101</t>
  </si>
  <si>
    <t>Aspects of the present disclosure generally pertains a system and method for wireless inter-networking between a wireless wide area network (WWAN) and a local area network (WLAN) employing one or more extended range wireless inter-networking devices. Aspects of the present disclosure more specifically are directed toward a high powered wireless interconnect device that includes high efficiency circuitry to make it possible to implement in a portable or in-vehicle form factor, which may provide reasonable battery life, size, weight, and thermal dissipation.</t>
  </si>
  <si>
    <t>US20190058259</t>
  </si>
  <si>
    <t>VEHICLE BORNE RADIO COVERAGE SYSTEM AND METHOD</t>
  </si>
  <si>
    <t>16/166415</t>
  </si>
  <si>
    <t>US20190053050</t>
  </si>
  <si>
    <t>Self-Provisioning of Mobile Devices in Deployable Mobile     Telecommunications Networks</t>
  </si>
  <si>
    <t>15/676009</t>
  </si>
  <si>
    <t>STAR SOLUTIONS INTERNATIONAL INC.</t>
  </si>
  <si>
    <t>STAR SOLUTIONS</t>
  </si>
  <si>
    <t>Jin; Yichuang; (Vancouver, CA); McLeod; Ron; (Richmond, CA)</t>
  </si>
  <si>
    <t>H04W 8/18 20130101;  H04W 12/06 20130101;  H04L 9/3234 20130101;  H04L 2209/80 20130101;  H04L 2209/72 20130101;  H04L 9/0897 20130101;  H04W 4/90 20180201;  H04W 12/0023 20190101;  H04L 41/0806 20130101</t>
  </si>
  <si>
    <t>Systems and methods for self-provisioning of mobile devices in a     deployable telecommunications network are disclosed. A telecommunications     network may include an enhanced provisioning server for recording and     maintaining user data and authentication information associating users     with applications of the network, and for generating secure,     transportable user credentials that carry the user data and     authentication information on a per-user basis. An enhanced deployable     mobile communication system may include local versions of the     applications, as well as a local subscriber database and provisioning     server. The enhanced deployable mobile system securely import individual     user data and authentication information from a user's transportable     credentials, and use the imported data to provision the user in the     deployable mobile system. Multiple deployable systems may be used, each     enabling individual users to self-provision. Each may function as a     standalone mobile network even in the absence of connectivity to a core     telecommunications network.</t>
  </si>
  <si>
    <t>US20190045907</t>
  </si>
  <si>
    <t>SMART BAGS</t>
  </si>
  <si>
    <t>16/160833</t>
  </si>
  <si>
    <t>Rodriguez; Rafael A.; (New York, NY)</t>
  </si>
  <si>
    <t>A45F 3/00 20130101;  H02J 7/0013 20130101;  H02J 7/025 20130101;  H02J 7/35 20130101;  H04B 1/3827 20130101;  H04R 3/00 20130101;  A45F 3/04 20130101;  H04R 2420/07 20130101;  A45F 2003/003 20130101</t>
  </si>
  <si>
    <t>A smart bag includes one or more smart features that improve the use of various electronic devices by providing various features for the user. The bag may be closable by a zipper, where the zipper may be lockable. The bag can be any kind of bag, including, but not limited to, a backpack, travel luggage, purse, beach bag, gym bag, or the like. The smart features can include data storage, SIM card ports, USB ports, proximity sensors, wireless charging features, power storage and power supply features and the like.</t>
  </si>
  <si>
    <t>US20190044217</t>
  </si>
  <si>
    <t>15/873836</t>
  </si>
  <si>
    <t>H01Q 1/1207 20130101;  H01Q 1/42 20130101;  H05K 5/0221 20130101;  H05K 5/0247 20130101;  H05K 7/186 20130101;  H05K 5/0239 20130101;  H01Q 1/2291 20130101;  H01Q 21/28 20130101;  H01Q 1/243 20130101;  H04B 1/38 20130101;  H05K 7/12 20130101;  H01Q 1/1221 20130101;  H01Q 1/24 20130101;  H01Q 1/3275 20130101;  H05K 5/023 20130101</t>
  </si>
  <si>
    <t>US20180372524</t>
  </si>
  <si>
    <t>SYSTEM, DEVICE AND METHOD FOR MONITORING THE LIQUID VOLUME IN A HYDRATION     PACK</t>
  </si>
  <si>
    <t>15/779248</t>
  </si>
  <si>
    <t>Saville; Andrew; (Markyate, GB); Dubey; Yogesh; (Mysore, IN); Bharath; M. Gopi Naga; (Mysore, IN); Manjunatha; Sujatha Pujar; (Mysore, IN)</t>
  </si>
  <si>
    <t>A61B 5/4875 20130101;  G01F 23/18 20130101;  G01F 23/0076 20130101;  G01P 15/0802 20130101;  A45F 3/20 20130101;  G01F 25/0084 20130101;  G01F 22/00 20130101;  A45F 3/04 20130101;  G01F 25/0061 20130101;  A45F 2003/166 20130101</t>
  </si>
  <si>
    <t>A system for monitoring the volume of fluid in a hydration pack comprises     a monitoring unit which is attached to an output of the hydration pack     and to a feed tube. The monitoring unit comprises a pressure sensor and a     tilt sensor. The pressure sensor obtains a measure of pressure of fluid     within the hydration pack that may be used to estimate remaining fluid in     the hydration pack. The tilt sensor is able to provide adjustment     parameters tor adjusting for changes in pressure due to tilt of the     hydration pack. An application on a mobile telephone provides a user with     an indication of remaining liquid in the hydration pack. The application     provides a visual indication of remaining fluid and may also provide an     indication of rate of consumption. The application may also calibrate the     system, enabling the system to be fitted to existing hydration pack     assemblies.</t>
  </si>
  <si>
    <t>US20180359611</t>
  </si>
  <si>
    <t>TRACKING A WIRELESS DEVICE USING A SEAMLESS HANDOFF BETWEEN A VEHICLE AND A MOBILE DEVICE</t>
  </si>
  <si>
    <t>15/618096</t>
  </si>
  <si>
    <t>Ford Global Technologies</t>
  </si>
  <si>
    <t>FORD GLOBAL</t>
  </si>
  <si>
    <t>McNabb; David; (Ann Arbor, MI); Van Wiemeersch; John Robert; (Novi, MI)</t>
  </si>
  <si>
    <t>H04W 4/029 20180201;  H04W 4/40 20180201;  H04W 4/046 20130101;  H04W 36/18 20130101;  H04W 36/03 20180801;  H04W 84/18 20130101;  H04W 36/32 20130101;  H04W 64/006 20130101;  H04W 84/005 20130101;  H04W 36/30 20130101</t>
  </si>
  <si>
    <t>Method and apparatus are disclosed for tracking a wireless device using a seamless handoff between a vehicle and a mobile device. An example vehicle includes internal and external antennas, a sensor, and an infotainment head unit with a display. The infotainment head unit tracks, using the external antenna, a wireless-enabled object exterior to the vehicle. The infotainment head unit also determines a location of the mobile device associated with the vehicle based on the sensor and the internal and external antennas. Additionally, when the mobile device exits the vehicle, the infotainment head unit automatically transitions tracking information to the mobile device.</t>
  </si>
  <si>
    <t>US20180337711</t>
  </si>
  <si>
    <t>15/984350</t>
  </si>
  <si>
    <t>US20180310698</t>
  </si>
  <si>
    <t>BULLETPROOF BACKPACK DESIGNED FOR PERSONAL SECURITY AND TRIGGERING DATA     COLLECTION</t>
  </si>
  <si>
    <t>16/028825</t>
  </si>
  <si>
    <t>RAO; BINDU RAMA; (LAGUNA NIGUEL, CA)</t>
  </si>
  <si>
    <t>F41H 1/02 20130101;  A45F 4/02 20130101;  A45F 3/04 20130101;  F41H 5/007 20130101;  F41H 5/013 20130101;  A45F 2003/003 20130101;  G08B 25/016 20130101;  G08B 13/19695 20130101;  H04N 21/2187 20130101;  F41H 5/0471 20130101</t>
  </si>
  <si>
    <t>A bulletproof/ballistic resistance backpack to be used for personal     safety while travelling or going to school, designed for convenience. It     holds school books and computers, for a student, and a traveler's items,     including a mobile phone, tablets and camera for a traveler. It helps     store the traveler's items safely, conveniently and also helps charge     them on-the-go. It is made of strong material to provide slash     resistance, durability and ease of mind during travel.</t>
  </si>
  <si>
    <t>US20180303213</t>
  </si>
  <si>
    <t>GAMING AND ADVERTISMENT BACKPACK</t>
  </si>
  <si>
    <t>15/958158</t>
  </si>
  <si>
    <t>Pusey; Michcail A.; (San Francisco, CA)</t>
  </si>
  <si>
    <t>A45C 2013/025 20130101;  A45F 2200/0516 20130101;  A45F 2200/0525 20130101;  A45C 15/02 20130101;  A45C 13/02 20130101;  A45C 13/001 20130101;  A45C 13/002 20130101;  A45F 2003/003 20130101;  A45F 3/04 20130101;  A45F 3/02 20130101</t>
  </si>
  <si>
    <t>A backpack includes a bag having a front, a back, a top, a bottom, a     first side, a second side and at least one inner compartment defined     within. At least one connector is operable to open and close an opening     to the inner compartment of the bag. The backpack further includes at     least one shoulder strap coupled to the bag and disposed over the back of     the bag. A portable computer, including a processor, a memory, and a     display screen, is attached to the front of the bag.</t>
  </si>
  <si>
    <t>US20180303003</t>
  </si>
  <si>
    <t>PORTABLE, COMPACT, RAPID EMPLOYABLE, REDUCED POWER CONSUMPTION, AND LIGHTWEIGHT INFORMATION COMMAND AND CONTROL SYSTEM INCLUDING AN INTEGRATED SHIPPING CASE/EQUIPMENT MOUNTING STRUCTURE, MULTI-APPLICATION WORK STATION, COMMUNICATION SYSTEM, AN EXPANDABLE DISPLAY ARRAY, LOCATION DETERMINING SYSTEM, LOW POWER COOLING SYSTEM, AND DATA CENTER SECTION WITH DATA SERVERS AND NETWORK HUB CAPABILITY WITH DESIGN CONFIGURATIONS ENABLING OPERATION WITH REDUCED OR PASSIVE THERMAL CONTROL CAPABILITIES</t>
  </si>
  <si>
    <t>15/954444</t>
  </si>
  <si>
    <t>United States of America</t>
  </si>
  <si>
    <t>UNITED STATES AMERICA</t>
  </si>
  <si>
    <t>Meinhart; Michael A; (Washington, IN)</t>
  </si>
  <si>
    <t>H05K 7/1487 20130101;  H05K 7/16 20130101;  H05K 7/1498 20130101;  G06F 1/189 20130101;  G06F 1/182 20130101;  G06F 1/184 20130101;  G06F 1/1601 20130101;  G06F 1/20 20130101;  H05K 7/20772 20130101;  H05K 5/023 20130101;  G06F 8/61 20130101;  H04K 3/224 20130101;  H05K 7/20263 20130101;  H05K 7/20272 20130101;  G06F 2200/201 20130101;  G06F 2200/1612 20130101</t>
  </si>
  <si>
    <t>A command and control system and related methods are provided including an integrated shipping case/equipment mounting structure, a multi-application information fusion work station, a communication system, an expandable display array, a location determining system, and a data center section with data servers and network hub capability. Embodiments of the system includes design configurations enabling operation with reduced or passive environmental and temperature control capabilities including a compact cooling system usable with a compact layout and close proximity components that provide needed low power consumption cooling capability. Embodiments provide a portable, compact, rapid employable, reduced power consumption and lightweight information command and control capability operable in austere environments.</t>
  </si>
  <si>
    <t>US20180301793</t>
  </si>
  <si>
    <t>MOBILE HOTSPOT SYSTEM</t>
  </si>
  <si>
    <t>15/486882</t>
  </si>
  <si>
    <t xml:space="preserve">Verizon </t>
  </si>
  <si>
    <t>VERIZON</t>
  </si>
  <si>
    <t>MITSUFUJI; Ai; (Sunnyvale, CA); BRENNAN; Kevin Gerard; (Metuchen, NJ); LI; Yuk Lun; (Morganville, NJ); WINSTON; Nicole; (San Francisco, CA); ENG; Nolan; (Foothill Ranch, CA); MCDONOUGH; Paul R.; (Marlboro, NJ)</t>
  </si>
  <si>
    <t>H05K 5/0021 20130101;  H01Q 1/241 20130101;  H04L 67/12 20130101;  H01Q 1/48 20130101;  H04W 84/18 20130101;  H01Q 1/246 20130101</t>
  </si>
  <si>
    <t>A device can include a first ground element to be electrically connected to a module including a cellular antenna. The first ground element and the module can be stackable. The cellular antenna can have a first ground plane provided by a second ground element included in the module. The first ground element can provide a second ground plane for the cellular antenna when the first ground element is electrically connected to the cellular antenna. The second ground plane can be larger than the first ground plane. Radio performance of the cellular antenna with regard to a cellular network is enhanced when the cellular antenna is electrically connected to the first ground element based on the second ground plane.</t>
  </si>
  <si>
    <t>US20180294551</t>
  </si>
  <si>
    <t>DUAL-POLARIZED, OMNI-DIRECTIONAL, AND HIGH-EFFICIENCY WEARABLE ANTENNA     ARRAY</t>
  </si>
  <si>
    <t>15/480136</t>
  </si>
  <si>
    <t>Futurewei Technologies, Inc.  DBA HUAWEI TECHNOLOGIES (USA)</t>
  </si>
  <si>
    <t>FUTUREWEI</t>
  </si>
  <si>
    <t>Ryan; Colan Graeme Matthew; (San Diego, CA); Yang; Hungyu David; (Darien, IL)</t>
  </si>
  <si>
    <t>H01Q 1/273 20130101;  H01Q 9/32 20130101;  H01Q 21/28 20130101;  H01Q 21/24 20130101;  H01Q 21/205 20130101</t>
  </si>
  <si>
    <t>An antenna array and a system including the antenna array are provided     for implementing wireless communication in a wearable device. The antenna     array includes a first plurality of antennas integrated with an antenna     substrate and a second plurality of antennas integrated with the antenna     substrate. Each antenna in the first plurality of antennas is disposed     perpendicular to a ground plane, and each antenna in the second plurality     of antennas is disposed parallel to the ground plane. The first plurality     of antennas and the second plurality of antennas generate     omni-directional electro-magnetic (EM) radiation in at least two     different polarizations, which makes the antenna array suitable for     wearable applications.</t>
  </si>
  <si>
    <t>US20180287657</t>
  </si>
  <si>
    <t>Low Power, High Resolution Automated Meter Reading and Analytics</t>
  </si>
  <si>
    <t>15/935323</t>
  </si>
  <si>
    <t>H04B 1/44 20130101;  Y04S 20/42 20130101;  H04B 1/1036 20130101;  H04B 2001/0408 20130101;  G01D 4/004 20130101;  H04W 88/02 20130101;  H04W 84/18 20130101;  H04W 52/028 20130101;  H04W 88/16 20130101;  H04B 1/40 20130101;  H02J 7/345 20130101;  H02J 7/007 20130101;  H02J 7/0014 20130101;  H04W 52/0277 20130101;  H03F 3/24 20130101;  H04W 88/06 20130101;  Y02B 90/242 20130101;  Y02B 90/246 20130101;  Y04S 20/322 20130101;  H04B 1/0475 20130101</t>
  </si>
  <si>
    <t>The systems and methods described herein are directed to techniques for improving battery life performance of end devices in resource monitoring systems which transmit data using low-power, wide area network (LPWAN) technologies. Further, the techniques include providing sensor interfaces in the end devices configured to communicate with multiple types of metrology sensors. Additionally, the systems and methods include techniques for reducing the size of a concentrator of a gateway device which receives resource measurement data from end devices. The reduced size of the concentrator results in smaller, more compact gateway devices that consume less energy and reduce heat dissipation experienced in gateway devices. The concentrator may comply with modular interface standards, and include two radios configured for transmitting 1-watt signals. Lastly, the systems and methods include techniques for fully redundant radio architecture within a gateway device, allowing for maximum range and minimizing downtime due to transmission overlap.</t>
  </si>
  <si>
    <t>US20180262050</t>
  </si>
  <si>
    <t>15/759473</t>
  </si>
  <si>
    <t>Yankowitz; Joshua Aaron; (New City, NY)</t>
  </si>
  <si>
    <t>H02J 50/23 20160201;  H01F 38/14 20130101;  H02J 7/025 20130101;  H02J 50/70 20160201;  H02J 50/12 20160201;  H02J 50/60 20160201;  H02J 50/40 20160201</t>
  </si>
  <si>
    <t>Methods, systems, and devices are disclosed for wirelessly charging     electronic devices. In one aspect, a wireless charging transmitter device     includes a three-dimensional coil array electrically coupled to a power     source and Power Source structured to include two or more coils to     produce an electromagnetic field that emanates from the three-dimensional     coil array, in which the coils are arranged such that at least two coils     are perpendicular to each other to direct the electromagnetic field. The     wireless charging transmitter device is operable to wirelessly charge an     electronic device by providing the electromagnetic field at a receiver     coil of the electronic device to convert the electromagnetic energy to     electrical energy to power the electronic device.</t>
  </si>
  <si>
    <t>US20180261909</t>
  </si>
  <si>
    <t>15/979646</t>
  </si>
  <si>
    <t>H05K 5/023 20130101;  H05K 7/186 20130101;  H05K 5/0239 20130101;  H05K 5/0247 20130101;  H01Q 1/2291 20130101;  H04B 1/38 20130101;  H05K 5/0221 20130101;  H01Q 1/1207 20130101;  H01Q 1/243 20130101;  H05K 7/12 20130101;  H01Q 21/28 20130101</t>
  </si>
  <si>
    <t>US20180258882</t>
  </si>
  <si>
    <t>15/975116</t>
  </si>
  <si>
    <t>H01M 2/0207 20130101;  H01M 2/0217 20130101;  F02K 1/763 20130101;  F05D 2260/96 20130101;  F02K 1/72 20130101;  H01M 2/026 20130101</t>
  </si>
  <si>
    <t>US20180249133</t>
  </si>
  <si>
    <t>15/965098</t>
  </si>
  <si>
    <t>H04N 7/185 20130101;  A41D 1/04 20130101;  A41D 27/201 20130101;  A41D 1/002 20130101;  H04N 5/2253 20130101;  G08B 25/016 20130101;  F41H 1/02 20130101;  A41D 2300/32 20130101;  A41D 2300/322 20130101;  A41D 2300/324 20130101;  A41D 2300/326 20130101;  A41D 2300/33 20130101;  A41D 2400/48 20130101;  H02J 7/0026 20130101</t>
  </si>
  <si>
    <t>A personal tactical system including a ballistic load-bearing garment, a pouch with one or more batteries enclosed in the pouch, an electronic processor, a communication device, and at least one camera. The camera is incorporated into or removably attachable to the load-bearing garment, the pouch is removably attachable to the load-bearing garment and the one or more batteries are operable to power the camera and communication device. The processor runs image recognition software operable to identify approaching objects and alert the user. A plurality of personal tactical systems is operable to form an ad hoc network to share images and other information for determining object direction, location, and movement.</t>
  </si>
  <si>
    <t>US20180242185</t>
  </si>
  <si>
    <t>Apparatus for Cooperating with a Mobile Device</t>
  </si>
  <si>
    <t>15/961357</t>
  </si>
  <si>
    <t>LIVEU INC.</t>
  </si>
  <si>
    <t>LIVEU</t>
  </si>
  <si>
    <t>STEIN; Zeev; (Holon, IL); RAHAV; Ran; (Rosh Haayin, IL); SCHREIBER; Meir; (Maccabim, IL); ALTMAN; Baruch; (Pardes Hana, IL)</t>
  </si>
  <si>
    <t>H04W 4/80 20180201;  H04W 28/021 20130101;  G06F 1/1632 20130101;  G06F 1/1637 20130101;  H04L 63/18 20130101;  H04L 65/80 20130101;  H04M 2250/52 20130101;  H04W 12/02 20130101;  H04W 12/06 20130101;  H04W 72/0453 20130101;  H04W 88/06 20130101;  H04M 1/72527 20130101;  H04M 1/72522 20130101</t>
  </si>
  <si>
    <t>An apparatus for cooperating with a mobile device having an embedded transceiver is disclosed. The apparatus includes a housing and a mechanical connector on the housing, the mechanical connector being configured to mechanically retain the mobile device. At least one port within the housing conveys energy to at least one auxiliary wireless transceiver associable with the apparatus. The apparatus is configured to cooperate with the mobile device when the mobile device is retained on the housing by the mechanical connector, to enable transmission of a first portion of a data stream over the at least one auxiliary transceiver while a second portion of the data stream is simultaneously transmitted over the embedded transceiver.</t>
  </si>
  <si>
    <t>US20180193843</t>
  </si>
  <si>
    <t>MODULAR MOBILE FIELD-DEPLOYABLE LABORATORY FOR THE DETECTION, SEQUENCING AND ANALYSIS OF EMERGING INFECTIOUS DISEASES</t>
  </si>
  <si>
    <t>15/866073</t>
  </si>
  <si>
    <t>B01L 9/02 20130101;  B01L 3/502 20130101;  C12Q 1/24 20130101;  G01N 21/6428 20130101;  G01N 15/04 20130101;  G01N 33/50 20130101;  G01N 33/483 20130101;  C12M 41/14 20130101;  B01L 7/52 20130101;  C12Q 1/04 20130101;  B01L 2300/0636 20130101;  B01L 2300/0645 20130101;  B01L 2300/0877 20130101;  B01L 2400/0424 20130101;  B01L 2400/0487 20130101;  G01N 2800/00 20130101;  G01N 2001/002 20130101;  B01L 2300/046 20130101;  G01N 2015/0019 20130101;  G01N 2015/0065 20130101</t>
  </si>
  <si>
    <t>A mobile field-deployable laboratory to more conveniently enable the detecting, sequencing and analyzing of biological agents at the point-of-need. This device enables field operators to go from sample to actionable information in the field without the need for an internet connection or grid-based power. The mobile laboratory can be configured either in a single backpack configuration or in a footlocker configuration wherein both configurations include a plurality of different compartments specifically configured for holding all of the necessary equipment for successfully extracting, amplifying, sequencing and characterizing specific viruses, pathogens and other bacteria directly in the field including an integrated power supply for providing power to the relevant components for up to 72 hours of continuous use without the need for any external power source, a cold storage compartment for frozen and chilled critical reagents, a PCR detection system, a DNA/RNA sequencing system, a bioinformatics analysis system, a centrifuge, and a deployable workbench area which provides a stable workstation when either the backpack or footlocker configuration is deployed.</t>
  </si>
  <si>
    <t>US20180191189</t>
  </si>
  <si>
    <t>RECEIVER DEVICES CONFIGURED TO DETERMINE LOCATION WITHIN A TRANSMISSION FIELD</t>
  </si>
  <si>
    <t>14/860824</t>
  </si>
  <si>
    <t>ENERGOUS CORPORATION</t>
  </si>
  <si>
    <t>ENERGOUS</t>
  </si>
  <si>
    <t>LEABMAN; Michael A.; (San Ramon, CA)</t>
  </si>
  <si>
    <t>H02J 50/80 20160201;  H02J 7/025 20130101;  H02J 5/005 20130101</t>
  </si>
  <si>
    <t>Embodiments disclosed herein may generate and transmit power waves that, as result of their physical waveform characteristics (e.g., frequency, amplitude, phase, gain, direction), converge at a predetermined location in a transmission field to generate a pocket of energy. Receivers associated with an electronic device being powered by the wireless charging system, may extract energy from these pockets of energy and then convert that energy into usable electric power for the electronic device associated with a receiver. The pockets of energy may manifest as a three-dimensional field (e.g., transmission field) where energy may be harvested by a receiver positioned within or nearby the pocket of energy.</t>
  </si>
  <si>
    <t>US20180168065</t>
  </si>
  <si>
    <t>SYSTEM FOR SUPPLYING POWER TO AT LEAST ONE POWER DISTRIBUTION AND DATA HUB USING A PORTABLE BATTERY PACK</t>
  </si>
  <si>
    <t>15/886351</t>
  </si>
  <si>
    <t>H05K 7/1492 20130101;  H01M 2/0482 20130101;  H01M 2/0404 20130101;  H01M 2/1022 20130101;  H01M 2/1094 20130101;  H02B 1/26 20130101;  H04L 29/04 20130101</t>
  </si>
  <si>
    <t>A system for supplying power to at least one power distribution and data hub using a portable battery pack including a battery enclosed by a wearable and replaceable pouch or skin is disclosed, wherein the pouch or skin can be provided in different colors and/or patterns. Further, the pouch or skin can be MOLLE-compatible. The battery comprises a battery element housed between a battery cover and a back plate, wherein the battery element, battery cover, and back plate have a slight curvature or contour. Further, the battery comprises flexible leads.</t>
  </si>
  <si>
    <t>US20180167795</t>
  </si>
  <si>
    <t>BACKPACK-TYPE MOBILE BASE STATION SYSTEM AND METHOD BASED ON TVWS AND SATELLITE BACKHAUL</t>
  </si>
  <si>
    <t>15/577686</t>
  </si>
  <si>
    <t>INNONET CO., LTD.</t>
  </si>
  <si>
    <t>INNONET</t>
  </si>
  <si>
    <t>YOO; Ho Sang; (Seoul, KR)</t>
  </si>
  <si>
    <t>H04W 4/90 20180201;  H04B 7/1851 20130101;  H04B 7/0404 20130101;  H04B 7/15592 20130101</t>
  </si>
  <si>
    <t>Provided herein is a backpack-type mobile base station system based on a TVWS and satellite backhaul, including a mobile base station configured to wirelessly perform matching with any one of a backhaul donor and a backhaul bridge through a TVWS, and provide an emergency disaster mobile communication service to a terminal. The mobile base station may include: a backhaul wireless matching unit configured to wirelessly perform matching with any one of the backhaul donor and the backhaul bridge through the TVWS; a terminal wireless matching unit configured to wirelessly perform matching with the terminal; and a base station signal processing unit configured to process a signal of the mobile base station between the backhaul wireless matching unit and the terminal wireless matching unit. The backhaul donor, the backhaul bridge and the mobile base station may receive power from any one of a commercial power supply, a battery, sunlight, wind power, and a power generator.</t>
  </si>
  <si>
    <t>US20180167130</t>
  </si>
  <si>
    <t>DUAL-BAND COMMUNICATION DEVICE AND METHOD FOR USE THEREWITH</t>
  </si>
  <si>
    <t>15/372454</t>
  </si>
  <si>
    <t>Vannucci; Giovanni; (Middletown, NJ)</t>
  </si>
  <si>
    <t>H04B 7/15507 20130101;  H04B 2203/5437 20130101;  H01Q 5/10 20150115;  H01Q 5/22 20150115;  H01Q 21/22 20130101;  H01Q 1/243 20130101;  H04W 72/0453 20130101;  H01Q 3/2605 20130101;  H04B 3/56 20130101;  H04B 3/58 20130101;  H01Q 3/36 20130101;  H04W 88/10 20130101;  H04B 2203/5483 20130101;  H04B 2203/5479 20130101;  H04B 2203/5495 20130101;  H04B 2203/5441 20130101;  H04W 16/28 20130101</t>
  </si>
  <si>
    <t>Aspects of the subject disclosure may include, for example, a method for use with a communication device that includes: communicating in a first frequency band with a remote device via at least one transceiver, wherein the remote device is oriented at a direction relative to the communication device, wherein the communicating is in accordance with first antenna beam steering parameters and a first antenna beam corresponding to the direction; and, communicating in a second frequency band with the remote device via the at least one transceiver, wherein the second frequency band is higher than the first frequency band, wherein the at least one transceiver is pre-initialized with second antenna beam steering parameters to generate a second antenna beam corresponding to the direction, and wherein the second antenna beam steering parameters are generated based on the first antenna beam steering parameters.</t>
  </si>
  <si>
    <t>US20180151960</t>
  </si>
  <si>
    <t>IN-BUILDING COMMUNICATIONS HYBRID SYSTEM APPARATUS AND METHOD</t>
  </si>
  <si>
    <t>15/878531</t>
  </si>
  <si>
    <t>An In-Building Communications system is disclosed which permits communication in tunnels, underground parking garages, tall buildings such as skyscrapers, buildings having thick walls of concrete or metal, and/or any building which has communication dead zones due to electromagnetic shielding. The invention includes a portable bi-directional amplifier (BDA) system, an outdoor antenna system attached to the building or independently mountable an indoor antenna system attached to the building or independently mountable inside the building, and a standardized, In-Building Communications (IBC) interface box affixed preferably to the exterior of the building. The interface box communicates with antenna systems attached to the building. The fire department or other emergency response personnel carry portable outdoor and indoor antenna systems and a portable, lithium-ion battery powered, bi-directional amplifier (BOA) system which may be connected to the building during an event such as a fire, earthquake, or an act of terrorism or whenever radio coverage enhancement is required. The portable BDA system is simply connected to the standardized, IBC interface box and powered thus restoring communications within.</t>
  </si>
  <si>
    <t>US20180123238</t>
  </si>
  <si>
    <t>MULTIPOLARIZED VECTOR SENSOR ARRAY ANTENNA SYSTEM FOR SEARCH AND RESCUE APPLICATIONS</t>
  </si>
  <si>
    <t>15/302063</t>
  </si>
  <si>
    <t>Massachusetts Institute of Technology</t>
  </si>
  <si>
    <t>MIT</t>
  </si>
  <si>
    <t>FENN; Alan J.; (Wayland, MA); ZHANG; Beijia; (Cambridge, MA); HURST; Peter T.; (Cambridge, MA); KOLODZIEJ; Kenneth E.; (Lexington, MA); RETHERFORD; Larry L.; (Merrimack, NH); AUSTIN; Christian D.; (Medford, MA)</t>
  </si>
  <si>
    <t>H01Q 3/2629 20130101;  G01S 3/30 20130101;  G01S 7/2813 20130101;  H01Q 11/105 20130101;  H01Q 13/08 20130101;  H01Q 21/205 20130101;  H01Q 3/40 20130101</t>
  </si>
  <si>
    <t>The present disclosure is directed towards direction finding (DF) systems that can detect and locals a radio frequency (RF) signal (e.g. an emergency beacon) is two dimensions (i.e., azimuth and elevation). In one embodiment, a DF system comprises an array of multipolarized loop antennas coupled to a beamformer which provides monopole, dipole, and loop antenna element modal signals. The DF system may also comprise a multi-channel digital receiver system coupled to the beamformer. The multi-channel digital receiver system is configured to receive modal signals provided thereto from the beamformer which can be used for accurate two-dimensional geolocation of RF signals including, but not limited to, location of RF emergency beacon sources.</t>
  </si>
  <si>
    <t>US20180102831</t>
  </si>
  <si>
    <t>UAV FOR CELLULAR COMMUNICATION</t>
  </si>
  <si>
    <t>15/485849</t>
  </si>
  <si>
    <t>H04B 7/18504 20130101;  H04W 76/021 20130101;  H04W 64/00 20130101;  H04W 12/06 20130101;  H04W 76/11 20180201;  B64C 39/024 20130101;  B64C 2201/122 20130101;  B64C 2201/146 20130101;  H04B 7/18571 20130101</t>
  </si>
  <si>
    <t>The use of UAV network cells may enable a wireless communication carrier to provide supplemental cellular network communication coverage to geographical areas. In some implementations, a first baseband processor of the UAV network cell may establish a first communication link with the ground network cell via a first antenna. The ground network cell may be connected to a core network of the wireless carrier network via a wired backhaul. Further, a second baseband processor of the UAV network cell may establish a second communication link with a user device via a second antenna. The first and second baseband processors may be communicatively coupled together. Accordingly, communication data may be routed between the user device and the core network through the first communication link and the second communication link.</t>
  </si>
  <si>
    <t>US20180102656</t>
  </si>
  <si>
    <t>15/836299</t>
  </si>
  <si>
    <t>H02J 7/0042 20130101;  H01M 10/425 20130101;  H01M 10/488 20130101;  H01M 2/1022 20130101;  H01M 2/1094 20130101;  H02J 7/0031 20130101;  H02J 7/0047 20130101;  H02J 7/0068 20130101;  H01R 13/5213 20130101;  H01M 2010/4271 20130101;  H01M 2010/4278 20130101;  H01M 2220/30 20130101;  H02J 2001/008 20130101;  H01R 24/64 20130101;  H01R 2107/00 20130101</t>
  </si>
  <si>
    <t>Systems, methods, and articles for a portable power case are disclosed. The portable power case is comprised of at least one battery and at least one PCB. The portable power case has at least two access ports, at least two leads, or at least one access port and at least one lead and at least one USB port. The portable power case is operable to supply power to an amplifier, a radio, a wearable battery, a mobile phone, and a tablet. The portable power case is operable to be charged using solar panels, vehicle batteries, AC adapters, non-rechargeable batteries, and generators. The portable power case provides for modularity that allows the user to disassemble and selectively remove the batteries installed within the portable power case housing.</t>
  </si>
  <si>
    <t>US20180102518</t>
  </si>
  <si>
    <t>PORTABLE BATTERY PACK COMPRISING A BATTERY ENCLOSED BY A WEARABLE AND REPLACEABLE POUCH OR SKIN</t>
  </si>
  <si>
    <t>15/836259</t>
  </si>
  <si>
    <t>H01M 2/1061 20130101;  H01M 2/26 20130101;  H01M 2220/30 20130101</t>
  </si>
  <si>
    <t>A portable battery pack comprising a battery enclosed by a wearable and replaceable pouch or skin is disclosed, wherein the pouch or skin can be provided in different colors and/or patterns. Further, the pouch or skin can be MOLLE-compatible. The battery comprises a battery element housed between a battery cover and a back plate, wherein the battery element, battery cover, and back plate have a slight curvature or contour. Further, the battery comprises flexible leads.</t>
  </si>
  <si>
    <t>US20180091237</t>
  </si>
  <si>
    <t>THROUGH-THE-EARTH EMERGENCY RADIO SYSTEM</t>
  </si>
  <si>
    <t>15/827297</t>
  </si>
  <si>
    <t>VITAL ALERT COMMUNICATION INC.</t>
  </si>
  <si>
    <t>VITAL ALERT COMMUNICATION</t>
  </si>
  <si>
    <t>ROPER; Michael James; (Ottawa, CA); KWASNIOK; Peter; (Dunrobin, CA); PUZAKOV; Vladimir; (Kanata, CA)</t>
  </si>
  <si>
    <t>H04W 4/90 20180201;  H04L 25/4902 20130101;  H01Q 1/273 20130101;  H04L 27/26 20130101;  H04B 1/40 20130101;  H04B 1/38 20130101;  H04B 13/02 20130101;  H01Q 1/2291 20130101;  H04B 1/034 20130101;  H04B 1/3827 20130101;  H01Q 7/00 20130101;  H04L 27/2602 20130101;  H04W 4/22 20130101</t>
  </si>
  <si>
    <t>There is provided a Through the Earth Emergency Radio (TER) method and apparatus for creating a communications link that can penetrate the earth or other thick, solid barriers. The communication link is used to connect mobile radios or other conventional wireless devices located below ground and on the surface. The through the earth communication link uses a multi-carrier modulation method that minimizes the impact of AC power line noise by locating each carrier between the harmonic frequencies of the AC power line noise.</t>
  </si>
  <si>
    <t>US20180084091</t>
  </si>
  <si>
    <t>15/708061</t>
  </si>
  <si>
    <t>H04M 1/026 20130101;  H04M 1/0249 20130101;  H04M 2001/0204 20130101</t>
  </si>
  <si>
    <t>A data communications backpack apparatus is disclosed having a backpack carrier. A power supply can be positioned in the backpack carrier. A router device can be positioned in the backpack carrier, the router device in electrical communication with the power supply. An antenna array can be positioned in the backpack carrier, the antenna array in electrical communication with the router device, the antenna array including one or more cellular antennas and one or more wireless networking antennas. The backpack carrier can include an upper opening extending into a central storage area, a first side pocket, a second side pocket, and a lower compartment positioned below the central storage area. The power supply can be positioned in the first side pocket, the router device can be positioned in the second side pocket, and the antenna array can be positioned in the lower compartment.</t>
  </si>
  <si>
    <t>US20180062197</t>
  </si>
  <si>
    <t>15/664776</t>
  </si>
  <si>
    <t>Y02E 10/50 20130101;  H02S 40/42 20141201;  H01M 10/04 20130101;  H01M 10/052 20130101;  H05K 1/181 20130101;  H01L 31/02013 20130101;  H05K 5/06 20130101;  G06F 2213/0042 20130101;  H01M 10/448 20130101;  H01L 31/048 20130101;  H05K 9/0007 20130101;  H02S 30/20 20141201</t>
  </si>
  <si>
    <t>Systems, methods, and articles for a portable power case are disclosed.     The portable power case is comprised of at least one battery and at least     one PCB. The portable power case has at least two access ports and at     least one USB port. The portable power case is operable to supply power     to an amplifier, a radio, a wearable battery, a mobile phone, and a     tablet. The portable power case is operable to be charged using solar     panels, vehicle batteries, AC adapters, non-rechargeable batteries, and     generators. The portable power case provides for modularity that allows     the user to disassemble and selectively remove the batteries installed     within the portable power case housing.</t>
  </si>
  <si>
    <t>US20180053919</t>
  </si>
  <si>
    <t>15/720270</t>
  </si>
  <si>
    <t>A41D 1/005 20130101;  A45F 5/02 20130101;  A45C 13/08 20130101;  A45C 13/36 20130101;  H01M 2/1066 20130101;  A45C 2013/306 20130101;  H01M 2/1061 20130101;  A41D 1/002 20130101;  A41D 1/04 20130101;  A41D 13/015 20130101;  A45C 13/10 20130101;  H01M 2220/30 20130101;  H01M 2/1016 20130101;  A45C 11/00 20130101;  A41D 27/205 20130101;  A45F 2005/023 20130101;  A45C 3/001 20130101</t>
  </si>
  <si>
    <t>US20180041047</t>
  </si>
  <si>
    <t>DISTRIBUTED CHARGING OF MOBILE DEVICES</t>
  </si>
  <si>
    <t>15/784124</t>
  </si>
  <si>
    <t>Partovi; Afshin; (Palo Alto, CA); Sears; Michael; (Ben Lomond, CA)</t>
  </si>
  <si>
    <t>H01F 5/003 20130101;  H01F 38/14 20130101;  H02J 7/025 20130101;  H02J 7/00 20130101;  H02J 50/12 20160201;  H02J 50/40 20160201;  H02J 50/80 20160201;  H02J 50/70 20160201;  H02J 50/90 20160201;  H02J 50/10 20160201</t>
  </si>
  <si>
    <t>A system and method for distributed charging of mobile devices. In     accordance with an embodiment, the system comprises a secondary coil or     receiver associated with a mobile device. When the mobile device is     placed in proximity to a base unit having one or more primary coils, each     primary coil having a generally planar shape so that when a current is     passed through the primary coil a magnetic field is generated in a     direction substantially perpendicular to the plane of the primary coil,     the perpendicular magnetic field is used to inductively generate a     current in the secondary coil or receiver associated with the mobile     device, to charge or power the mobile device. In accordance with various     embodiments the system can incorporate efficiency measures that improve     the efficiency of power transfer between the charger and receiver.</t>
  </si>
  <si>
    <t>US20180034162</t>
  </si>
  <si>
    <t>FLEXIBLE PRINTED ANTENNA DEVICES, METHODS, AND SYSTEMS</t>
  </si>
  <si>
    <t>15/225426</t>
  </si>
  <si>
    <t>Honeywell</t>
  </si>
  <si>
    <t>Backes; Glen; (Golden Valley, MN); Cornett; Alan; (Golden Valley, MN); Zvolena; Logan; (St. Paul, MN)</t>
  </si>
  <si>
    <t>H01Q 21/061 20130101;  H01Q 1/241 20130101;  H01Q 1/085 20130101</t>
  </si>
  <si>
    <t>Flexible printed antenna devices, methods, and systems are described herein. One device includes a conductive element having a pattern of printable conductive ink applied onto an ink-receptive, non-conductive substrate to form an antenna having multiple antenna elements, wherein the substrate is flexible allowing the multiple antenna elements to be rolled or folded over on each other and a connector element formed from a pattern of printable conductive ink applied to the ink-receptive, non-conductive substrate configured to receive and connect to a signal transmission and/or reception device using a non-contact coupling element.</t>
  </si>
  <si>
    <t>US20180027934</t>
  </si>
  <si>
    <t>15/729609</t>
  </si>
  <si>
    <t>H02J 7/0027 20130101;  A45B 3/04 20130101;  H02J 7/025 20130101;  H02J 7/355 20130101;  H02J 2007/0001 20130101;  H02J 2007/0062 20130101;  A45B 3/00 20130101;  A45B 2023/0012 20130101;  A45B 2023/0037 20130101;  A45B 2200/1054 20130101;  A45B 2200/1063 20130101;  A45B 2200/109 20130101;  A45B 23/00 20130101;  A45B 2025/003 20130101;  H02J 7/0045 20130101;  H02J 7/35 20130101;  A45B 25/02 20130101;  A45B 2200/1018 20130101;  A45B 2200/1027 20130101;  H02J 7/0047 20130101;  H01L 31/042 20130101;  H02S 30/20 20141201;  Y02E 10/50 20130101;  A45B 25/00 20130101;  B23P 15/26 20130101;  Y10T 29/49004 20150115;  Y10T 29/49117 20150115;  Y10T 29/49169 20150115;  Y10T 29/49355 20150115;  Y10T 29/4984 20150115;  H02J 7/0052 20130101</t>
  </si>
  <si>
    <t>A solar power conversion kit allows converting of a standard umbrella into a solar charging umbrella, which can then use solar power to charge electronic devices. The solar charging umbrella is self-sustained, capable of charging electronic devices in locations away from electrical outlets. The umbrella has a rechargeable battery that is recharged by sunlight. When charged, the umbrella's battery can charge devices when sunlight is not available. The umbrella supports simultaneous charging of higher power devices such as tablet computers.</t>
  </si>
  <si>
    <t>US20180006362</t>
  </si>
  <si>
    <t>15/708094</t>
  </si>
  <si>
    <t>H05K 5/023 20130101;  H05K 5/0239 20130101;  H05K 7/186 20130101;  H01Q 1/1207 20130101;  H05K 5/0247 20130101;  H05K 7/12 20130101;  H05K 5/0221 20130101;  H04B 1/38 20130101;  H01Q 1/243 20130101;  H01Q 21/28 20130101;  H01Q 1/2291 20130101</t>
  </si>
  <si>
    <t>A data communications apparatus is disclosed including a case having a base and a lid connectable to the base, the lid movable with respect to the base between an open position and a closed position. A power supply can be positioned inside the case. A router device can be positioned inside the case, the router device including a plurality of external ports. An antenna array can be positioned inside the case, the antenna array in electrical communication with the router device. An access port can be defined in the case and aligned with the external ports of the router device such that the external ports are accessible through the access port. Electronic devices can be connected to the external ports of the router device from an exterior of the case through the access port.</t>
  </si>
  <si>
    <t>US20170365208</t>
  </si>
  <si>
    <t>SMART BAG WITH INTEGRATED DISPLAY</t>
  </si>
  <si>
    <t>15/544688</t>
  </si>
  <si>
    <t>BROOKS; Robert C; (Houston, TX); AZAM; Syed S.; (Tomball, TX); BIGGS; Kent E.; (Houston, TX)</t>
  </si>
  <si>
    <t>A45F 3/04 20130101;  G09G 2370/06 20130101;  A45C 3/00 20130101;  G09G 3/2096 20130101;  H02J 7/0047 20130101;  A45F 2003/001 20130101;  A45C 13/02 20130101;  A45C 3/06 20130101;  G09G 2354/00 20130101;  H02J 2007/005 20130101;  G06F 1/263 20130101;  G09G 2330/021 20130101;  A45C 15/00 20130101</t>
  </si>
  <si>
    <t>Examples relate to a smart bag with an integrated display. An example     smart bag may comprise a set of power sources integral to the smart bag,     where the set of power sources may comprise multiple power sources to     provide power to a set of electronic devices. The example smart bag may     also comprise a display integral to the display and a display management     engine that manages the display of information via the integral display.</t>
  </si>
  <si>
    <t>US20170352249</t>
  </si>
  <si>
    <t>System and method for detecting that an open bag is being carried</t>
  </si>
  <si>
    <t>15/294892</t>
  </si>
  <si>
    <t>Clip; Paul; (Walnut Creek, CA)</t>
  </si>
  <si>
    <t>G08B 21/24 20130101;  A45F 3/04 20130101;  A45C 13/18 20130101;  A45C 13/103 20130101</t>
  </si>
  <si>
    <t>A system for detecting that an open bag is being carried includes a     portable container having a first compartment with a first opening, the     first opening mutable between an open state and a closed state. The     system includes at least one first sensor incorporated in the portable     container, the at least one first sensor configured to detect that the     first opening is in the open state. The system includes at least one     mechanical switch incorporated in the portable container, the at least     one mechanical switch having an actuator that activates the at least one     mechanical switch when the portable container is lifted. The system     includes a control circuit coupled to the at least one first sensor and     at least one mechanical switch, the control circuit configured to     transmit an alert to a user when the first sensor detects that the first     opening is open and the mechanical switch is activated.</t>
  </si>
  <si>
    <t>US20170350762</t>
  </si>
  <si>
    <t>PORTABLE ANALYTICAL EQUIPMENT</t>
  </si>
  <si>
    <t>15/681329</t>
  </si>
  <si>
    <t>MARQMETRIX, INC.</t>
  </si>
  <si>
    <t>MARQMETRIX</t>
  </si>
  <si>
    <t>MARQUARDT; Brian James; (Seattle, WA); VAN VUREN; John Scott; (Seattle, WA)</t>
  </si>
  <si>
    <t>G01J 3/44 20130101;  G01J 3/0272 20130101;  G08B 5/36 20130101;  G01N 2201/0221 20130101;  G01N 21/65 20130101;  G01J 3/0218 20130101;  G01J 3/027 20130101;  G01J 3/0264 20130101</t>
  </si>
  <si>
    <t>Portable analytical equipment, systems, methods, and techniques related     thereto is disclosed. Portable analytical equipment can comprise a     controller and a probe. The probe can interrogate a sample and receive a     response to the interrogation. The controller can select and/or initiate     an analysis related to interrogating the sample via the probe. The     analysis can be selected from a portfolio of analyses stored on the     controller. The controller can analyze the response to the interrogation     based on reference data stored on the controller. The controller can     determine an indication based on the analyzing the response for     presentation via a low-power interface, which can comprise an LED or     electrophoretic element. The controller can further be connected to an     external device, e.g., a smartphone or remote PC, to present collected     data and the analyzing of the response to the interrogation. The     disclosed subject matter can be employed in hand-held analytical     equipment, e.g., a hand-held Raman spectrometer.</t>
  </si>
  <si>
    <t>US20170346542</t>
  </si>
  <si>
    <t>ADAPTIVE MANAGEMENT OF ANTENNAS IN THE NETWORK OF MOVING THINGS</t>
  </si>
  <si>
    <t>15/447864</t>
  </si>
  <si>
    <t>Neves; Filipe Manuel Almeida; (Aguada de Baixo, PT); Esteves; Francisco Jose Antunes Marques; (Leiao, PT)</t>
  </si>
  <si>
    <t>H04B 7/0686 20130101;  H04W 24/02 20130101;  H04W 16/18 20130101;  H04W 88/08 20130101;  H04W 84/005 20130101;  H04W 48/20 20130101</t>
  </si>
  <si>
    <t>Methods and systems are provided for adaptive management of antennas in a communication network comprising a complex array of both static and moving communication nodes (e.g., a network of moving things, which may be a vehicle network, a network of or including autonomous vehicles, etc.).</t>
  </si>
  <si>
    <t>US20170346307</t>
  </si>
  <si>
    <t>SMART BAG</t>
  </si>
  <si>
    <t>15/522494</t>
  </si>
  <si>
    <t>AZAM; Syed S.; (Tomball, TX); BIGGS; Kent E.; (Tomball, TX); BROOKS; Robert C.; (Houston, TX)</t>
  </si>
  <si>
    <t>H02J 2007/0096 20130101;  H02J 2007/0062 20130101;  A45C 11/00 20130101;  A45C 2011/002 20130101;  A45F 4/02 20130101;  H02J 7/0052 20130101;  H02J 7/0044 20130101;  H02J 7/0054 20130101;  A45C 15/00 20130101;  H02J 7/02 20130101;  G06F 9/06 20130101;  A45C 3/00 20130101;  A45F 2005/002 20130101;  H02J 7/0008 20130101;  H02J 7/35 20130101;  A45F 3/04 20130101</t>
  </si>
  <si>
    <t>Examples relate to a smart bag for charging a set of electronic devices.     An example smart bag may comprise a set of power sources integral to the     smart bag, where the set of power sources may comprise multiple power     sources. The example smart bag may also comprise a power management     engine that manages provision of power from each of the set of power     sources to a first electronic device.</t>
  </si>
  <si>
    <t>US20170316677</t>
  </si>
  <si>
    <t>APPARATUS AND METHODS FOR GEOLOCATING AN INDIVIDUAL WITH RESPECT TO A PERIMETER</t>
  </si>
  <si>
    <t>15/652704</t>
  </si>
  <si>
    <t>SAFETRACKS GPS CANADA INC.</t>
  </si>
  <si>
    <t>SAFETRACKS GPS CANADA</t>
  </si>
  <si>
    <t>MESSIER; Yves; (Pierrefonds, CA); FAMA; Antonio; (Kirkland, CA); MILLER; Brian; (Kirkland, CA); GERVAIS; Francois; (Montreal, CA); BARON; Jerome; (Laval, CA); MARQUIS; Patrick-Olivier; (Sainte-Therese, CA)</t>
  </si>
  <si>
    <t>G08B 21/0225 20130101;  Y02D 70/00 20180101;  G08B 21/0269 20130101;  G08B 21/0277 20130101;  G08B 21/043 20130101;  G08B 21/0446 20130101;  G08B 21/0461 20130101;  G08B 21/0492 20130101;  G01S 19/10 20130101;  G01S 19/48 20130101;  G01S 19/16 20130101;  G01S 19/17 20130101;  G01S 19/34 20130101;  G01S 1/68 20130101;  G01S 5/0027 20130101;  H04W 4/021 20130101;  G08B 25/016 20130101;  G06K 19/07762 20130101;  G08B 21/0211 20130101;  G08B 21/0272 20130101;  G08B 21/0286 20130101;  H01Q 1/273 20130101;  H04B 1/385 20130101;  H04B 2001/3861 20130101;  H01Q 1/40 20130101;  Y02D 70/164 20180101;  Y02D 70/40 20180101;  Y02D 70/1222 20180101;  Y02D 70/144 20180101;  Y02D 70/26 20180101;  G08B 21/0261 20130101</t>
  </si>
  <si>
    <t>An improved wearable locator has an ultra-low power RF transceiver, GPS receiver, cellular network RF transceiver, processor, programmable non-volatile memory, LCD display, accelerometer and rechargeable battery. To ensure that the locator is within a perimeter, it can cooperate with a subordinate unit that includes an ultra-low power RF transceiver, processor, power supply, DC charging output, rechargeable battery, visual, audible and tactile enunciators and pushbutton, and can be plugged into an outlet or be unplugged and be mobile. Other wireless units can be used to define a perimeter.</t>
  </si>
  <si>
    <t>US20170288315</t>
  </si>
  <si>
    <t>IN-BUILDING-COMMUNICATION APPARATUS AND METHOD</t>
  </si>
  <si>
    <t>15/622871</t>
  </si>
  <si>
    <t>An In-Building Communications system is disclosed which permits communication in tunnels, underground parking garages, tall buildings such as skyscrapers, buildings having thick walls of concrete or metal, and/or any building which has communication dead zones due to electromagnetic shielding. The invention includes a portable bi-directional amplifier (BDA) system, an outdoor antenna system attached to the building or independently mountable, an indoor antenna system attached to the building or independently mountable inside the building, and a standardized, In-Building Communications (IBC) interface box affixed preferably to the exterior of the building. The interface box communicates with antenna systems attached to the building. The fire department or other emergency response personnel carry portable outdoor and indoor antenna systems and a portable, lithium-ion battery powered, bi-directional amplifier (BDA) system which may be connected to the building during an event such as a fire, earthquake, or an act of terrorism or whenever radio coverage enhancement is required. The portable BDA system is simply connected to the standardized, IBC interface box and powered thus restoring communications within.</t>
  </si>
  <si>
    <t>US20170280371</t>
  </si>
  <si>
    <t>AUXILIARY APPARATUS FOR WIRELESS NETWORK DEPLOYMENT, PORTABLE TERMINAL AND     METHOD FOR WIRELESS NETWORK DEPLOYMENT</t>
  </si>
  <si>
    <t>15/466261</t>
  </si>
  <si>
    <t>Fujitsu</t>
  </si>
  <si>
    <t>AO; CHEN; (Beijing, CN); Li; Hongchun; (Beijing, CN); Tian; Jun; (Beijing, CN)</t>
  </si>
  <si>
    <t>H04W 64/00 20130101;  H04B 17/318 20150115;  H04L 5/0055 20130101;  H04W 76/40 20180201;  H04W 48/08 20130101;  H04W 16/18 20130101;  H04W 24/02 20130101;  H04L 43/0894 20130101</t>
  </si>
  <si>
    <t>An auxiliary apparatus for wireless network deployment, portable terminal     and method for wireless network deployment. The apparatus includes: a     transmitting unit configured to broadcast a link detection request; a     collecting unit configured to collect link detection responses received     within a predetermined time; a first determining unit configured to,     taking nodes transmitting the link detection response as reference nodes,     determine a target reference node and non-target reference nodes of the     apparatus; a second determining unit configured to determine a link     connection status of the apparatus relative to each reference node     according to the link detection responses; and a third determining unit     configured to determine a movement direction and distance of the     apparatus according to the link connection status of the apparatus     relative to each reference node. Hence, personnel of wireless network     deployment are assisted in a practical deployment scenario in precisely     deploying nodes in the wireless network.</t>
  </si>
  <si>
    <t>US20170273417</t>
  </si>
  <si>
    <t>Intelligent Schoolbag</t>
  </si>
  <si>
    <t>15/618183</t>
  </si>
  <si>
    <t>QUANZHOU FANTEXI INTELLIGENCE TECHNOLOGY CO., LTD.</t>
  </si>
  <si>
    <t>QUANZHOU FANTEXI INTELLIGENCE</t>
  </si>
  <si>
    <t>Chen; Huicong; (Quanzhou, CN)</t>
  </si>
  <si>
    <t>B62K 13/00 20130101;  A45C 2009/005 20130101;  B62K 17/00 20130101;  A45C 13/02 20130101;  A45F 3/04 20130101;  A41D 3/04 20130101;  A41D 2400/422 20130101;  A45C 5/14 20130101;  A45C 13/103 20130101;  A45C 13/262 20130101;  A45F 4/12 20130101;  B62D 51/02 20130101;  B62K 3/002 20130101;  A45F 4/02 20130101;  A45C 5/146 20130101;  A45C 9/00 20130101;  A45F 3/042 20130101;  B62K 15/00 20130101</t>
  </si>
  <si>
    <t>An intelligent schoolbag, comprising a schoolbag body, wherein storage     spaces are formed in the schoolbag body, and book selection means are     arranged in the storage spaces; wheels and a driving device for driving     the wheels to walk are arranged on the schoolbag body, the driving device     is connected with pedals for the user to tread on, and the driving device     is an electric monowheel of which the walking speed is controlled by an     gravity sensing gyroscope. The intelligent schoolbag of the invention can     keep books therein in order despite of bumping, thus articles in the     schoolbag are neat. The schoolbag realizes easy access to books and can     really reduce the burden to carry the schoolbag on the way to schools,     and can better meet the needs of students.</t>
  </si>
  <si>
    <t>US20170256844</t>
  </si>
  <si>
    <t>15/587167</t>
  </si>
  <si>
    <t>H01Q 1/2291 20130101;  H01Q 1/243 20130101;  H05K 5/0221 20130101;  H05K 5/0239 20130101;  H05K 5/0247 20130101;  H04B 1/38 20130101;  H05K 5/023 20130101;  H05K 7/12 20130101;  H01Q 1/1207 20130101;  H01Q 21/28 20130101;  H05K 7/186 20130101</t>
  </si>
  <si>
    <t>A data communications apparatus including a case having a base and a lid connectable to the base, the lid movable with respect to the base between an open position and a closed position. The case has an inner surface. A power supply is secured inside the case. A router device is secured inside the case, the router device selectively receiving power from the power supply. A plurality of mounting brackets can be adhered to the inner surface of the case. An antenna array is in electrical communication with the router device, the antenna array including at least two cellular antennas and at least two wireless networking antennas, each antenna of the antenna array secured inside the case to a corresponding mounting bracket.</t>
  </si>
  <si>
    <t>US20170235010</t>
  </si>
  <si>
    <t>OMNI-INDUCER TRANSMITTING DEVICES AND METHODS</t>
  </si>
  <si>
    <t>15/345421</t>
  </si>
  <si>
    <t>SEESCAN, INC.</t>
  </si>
  <si>
    <t>SEESCAN</t>
  </si>
  <si>
    <t>Olsson; Mark S.; (La Jolla, CA); Merewether; Ray; (La Jolla, CA); Soukup; Jan; (San Diego, CA); Martin; Michael J.; (San Diego, CA)</t>
  </si>
  <si>
    <t>G01V 3/17 20130101;  G01S 13/885 20130101;  G01V 3/104 20130101</t>
  </si>
  <si>
    <t>Omnidirectional electromagnetic signal inducer ("omni-inducer") devices     are disclosed for generating utility locating current signals, at one or     more frequencies in on or more time intervals.</t>
  </si>
  <si>
    <t>US20170230907</t>
  </si>
  <si>
    <t>LOW POWER, HIGH RESOLUTION AUTOMATED METER READING AND ANALYTICS</t>
  </si>
  <si>
    <t>15/423512</t>
  </si>
  <si>
    <t>Rose; Matthew W.; (Bellingham, WA); Burns; Frank; (Spokane, WA); Peterson; Matthew Maher; (Bellingham, WA); Peckham; Canyon Daniel; (White Salmon, WA); Siderskiy; Valentin; (Bellingham, WA); Humphrey; David Royce; (White Salmon, WA)</t>
  </si>
  <si>
    <t>H04B 1/44 20130101;  H04B 1/0475 20130101;  H04B 1/1036 20130101;  H04B 2001/0408 20130101;  G01D 4/004 20130101;  H04W 88/02 20130101;  H04W 84/18 20130101;  H04W 52/028 20130101;  H04W 88/16 20130101;  H04B 1/40 20130101;  H02J 7/345 20130101;  H02J 7/007 20130101;  H02J 7/0014 20130101;  H04W 52/0277 20130101;  H03F 3/24 20130101;  H04W 88/06 20130101;  Y02B 90/242 20130101;  Y02B 90/246 20130101;  Y04S 20/322 20130101;  Y04S 20/42 20130101</t>
  </si>
  <si>
    <t>US20170192474</t>
  </si>
  <si>
    <t>15/463525</t>
  </si>
  <si>
    <t>Revision Military Soldier Power, LLC</t>
  </si>
  <si>
    <t>REVISION MILITARY SOLDIER POWER</t>
  </si>
  <si>
    <t>G06F 1/263 20130101;  Y10T 307/258 20150401;  H02J 7/0021 20130101;  H02J 7/0027 20130101;  H02J 7/02 20130101;  H02J 4/00 20130101;  H02J 2007/0001 20130101;  H02M 5/04 20130101;  H02M 3/04 20130101;  H02J 7/0068 20130101;  H02J 1/00 20130101;  G06F 13/4022 20130101;  G06F 1/3287 20130101;  G06F 1/266 20130101;  H02M 7/04 20130101;  Y02D 10/14 20180101;  Y02D 10/151 20180101;  H02J 5/00 20130101;  Y10T 307/461 20150401;  Y10T 307/313 20150401;  Y10T 307/406 20150401;  Y10T 307/76 20150401;  H02J 7/0004 20130101</t>
  </si>
  <si>
    <t>Various aspects of invention provide portable power manager operating methods. One aspect of the invention provides a method for operating a power manager having a plurality of device ports for connecting with external power devices and a power bus for connecting with each device port. The method includes: disconnecting each device port from the power bus when no external power device is connected to the device port; accessing information from newly connected external power devices; determining if the newly connected external power devices can be connected to the power bus without power conversion; if not, determining if the newly connected external power devices can be connected to the power bus over an available power converter; and if so, configuring the available power converter for suitable power conversion.</t>
  </si>
  <si>
    <t>US20170187471</t>
  </si>
  <si>
    <t>15/304892</t>
  </si>
  <si>
    <t>H04W 4/90 20180201;  H04B 13/02 20130101;  H04L 27/2602 20130101;  H01Q 7/00 20130101;  H04B 1/38 20130101;  H01Q 1/2291 20130101;  H04B 1/40 20130101;  H04L 27/26 20130101;  H01Q 1/273 20130101;  H04L 25/4902 20130101;  H04B 1/034 20130101;  H04B 1/3827 20130101</t>
  </si>
  <si>
    <t>There is provided a Through the Earth Emergency Radio (TER) method and     apparatus for creating a communications link that can penetrate the earth     or other thick, solid barriers. The communication link is used to connect     mobile radios or other conventional wireless devices located below ground     and on the surface. The through the earth communication link uses a     multi-carrier modulation method that minimizes the impact of AC power     line noise by locating each carrier between the harmonic frequencies of     the AC power line noise.</t>
  </si>
  <si>
    <t>US20170117733</t>
  </si>
  <si>
    <t>POWER COORDINATION AMONG PORTABLE DEVICES WITH MULTIPLE POWER SOURCES</t>
  </si>
  <si>
    <t>15/196361</t>
  </si>
  <si>
    <t>SAFETY INNOVATIONS, LLC</t>
  </si>
  <si>
    <t>SAFETY INNOVATIONS</t>
  </si>
  <si>
    <t>Pletsch; Erich J.; (Highland, UT); Havell; David J.; (Salt Lake City, UT); Ferro; Alex; (Salt Lake City, UT)</t>
  </si>
  <si>
    <t>H02J 7/0063 20130101;  G06F 1/163 20130101;  H04B 1/385 20130101;  H02J 2007/0067 20130101;  H02J 1/14 20130101;  G06F 1/28 20130101;  H02J 1/08 20130101;  H02J 1/10 20130101;  G06F 1/266 20130101</t>
  </si>
  <si>
    <t>A power management system includes a plurality of inputs that may be coupled to a plurality of devices to receive power therefrom and a plurality of outputs that may be coupled to the plurality of devices to provide power thereto. A device may include a load and an internal power sources that may be used to power the load or may be coupled by the power management system to another device. Likewise, the load may receive power from another device. The power management system couples each input to one of the outputs. An output is selected for an input based on priorities associated with the outputs and inputs. Each input and output may be coupled to a power bus by a multiplexer such that each input may be coupled to any output by coupling both to a common bus line.</t>
  </si>
  <si>
    <t>US20170085127</t>
  </si>
  <si>
    <t>SYSTEMS AND METHODS FOR NULLIFYING ENERGY LEVELS FOR WIRELESS POWER     TRANSMISSION WAVES</t>
  </si>
  <si>
    <t>14/861246</t>
  </si>
  <si>
    <t>H02J 7/025 20130101;  H02J 50/90 20160201;  H02J 50/80 20160201;  H02J 50/60 20160201</t>
  </si>
  <si>
    <t>Embodiments disclosed herein may generate and transmit power waves that,     as result of their physical waveform characteristics (e.g., frequency,     amplitude, phase, gain, direction), converge at a predetermined location     in a transmission field to generate a pocket of energy. Receivers     associated with an electronic device being powered by the wireless     charging system, may extract energy from these pockets of energy and then     convert that energy into usable electric power for the electronic device     associated with a receiver. The pockets of energy may manifest as a     three-dimensional field (e.g., transmission field) where energy may be     harvested by a receiver positioned within or nearby the pocket of energy.</t>
  </si>
  <si>
    <t>US20170085126</t>
  </si>
  <si>
    <t>SYSTEMS AND METHODS FOR GENERATING AND TRANSMITTING WIRELESS POWER     TRANSMISSION WAVES</t>
  </si>
  <si>
    <t>14/860991</t>
  </si>
  <si>
    <t>H02J 17/00 20130101;  H02J 7/025 20130101;  G01S 1/68 20130101;  H02J 50/10 20160201;  H02J 50/80 20160201;  H02J 50/12 20160201;  H02J 50/20 20160201;  H02J 50/00 20160201;  H02J 50/90 20160201;  H02J 50/40 20160201</t>
  </si>
  <si>
    <t>US20170085120</t>
  </si>
  <si>
    <t>SYSTEMS AND METHODS FOR IDENTIFYING SENSITIVE OBJECTS IN A WIRELESS     CHARGING TRANSMISSION FIELD</t>
  </si>
  <si>
    <t>14/861285</t>
  </si>
  <si>
    <t>LEABMAN; Michael A.; (San Ramon, CA); MELLBERG; Hans; (San Jose, CA)</t>
  </si>
  <si>
    <t>H02J 7/042 20130101;  H04B 5/0037 20130101;  H02J 7/025 20130101;  H02J 50/60 20160201;  H02J 50/20 20160201;  H02J 50/00 20160201;  H02J 5/005 20130101</t>
  </si>
  <si>
    <t>US20170085112</t>
  </si>
  <si>
    <t>RECEIVER DEVICES CONFIGURED TO DETERMINE LOCATION WITHIN A TRANSMISSION     FIELD</t>
  </si>
  <si>
    <t>H02J 5/005 20130101;  H02J 7/025 20130101;  H02J 50/80 20160201;  H02J 50/60 20160201;  H02J 50/90 20160201</t>
  </si>
  <si>
    <t>US20170077736</t>
  </si>
  <si>
    <t>SYSTEMS AND METHODS FOR WIRELESS POWER CHARGING</t>
  </si>
  <si>
    <t>14/856337</t>
  </si>
  <si>
    <t>H02J 7/025 20130101;  H04B 5/0037 20130101;  H02J 7/045 20130101;  H02J 7/027 20130101;  H02J 2007/0096 20130101;  G06K 9/18 20130101;  H02J 50/60 20160201;  G06T 7/60 20130101;  H04N 5/04 20130101;  H04N 7/18 20130101;  H02J 50/90 20160201;  H02J 50/80 20160201;  G06K 9/52 20130101</t>
  </si>
  <si>
    <t>US20170077735</t>
  </si>
  <si>
    <t>SYSTEMS AND METHODS FOR TRANSMITTING POWER TO RECEIVERS</t>
  </si>
  <si>
    <t>14/856186</t>
  </si>
  <si>
    <t>LEABMAN; Michael; (San Ramon, CA)</t>
  </si>
  <si>
    <t>H02J 7/025 20130101;  H04B 5/0037 20130101;  H04B 5/0031 20130101;  H02J 50/80 20160201;  H02J 50/90 20160201;  H02J 50/40 20160201;  H02J 50/20 20160201</t>
  </si>
  <si>
    <t>US20170047760</t>
  </si>
  <si>
    <t>15/335321</t>
  </si>
  <si>
    <t>RIPPEL; WALLY E.; (Sherman Oaks, CA); GOULD; MICHAEL; (Sherman Oaks, CA); JENSEN; BRIAN; (Sherman Oaks, CA)</t>
  </si>
  <si>
    <t>H02J 7/0068 20130101;  H02M 7/797 20130101;  H02J 2007/0059 20130101;  H02J 7/0055 20130101;  H02J 7/0065 20130101;  H02J 7/0047 20130101</t>
  </si>
  <si>
    <t>A portable power unit is provided that can be embodied in backpack, waist-pack, or other portable form. The portable power unit can include a battery, a bidirectional power processor, and a power port. The bidirectional power processor allows for direct current (DC) power exchange between the battery and the bidirectional power processor and a user selectable alternating current (AC) or DC power exchange between the bidirectional power processor and a power port through which a power source and an external load can be connected for charging and discharging of the electrochemical battery, respectively.</t>
  </si>
  <si>
    <t>US20170024537</t>
  </si>
  <si>
    <t>MOBILE TELEMEDICINE UNIT</t>
  </si>
  <si>
    <t>15/218647</t>
  </si>
  <si>
    <t>MAXIMUS SECURITY, LLC</t>
  </si>
  <si>
    <t>MAXIMUS SECURITY</t>
  </si>
  <si>
    <t>Ferlito; Frank J.; (St. Clair, MI)</t>
  </si>
  <si>
    <t>G06F 19/3418 20130101;  H04L 67/12 20130101;  H04L 67/025 20130101</t>
  </si>
  <si>
    <t>A mobile telemedicine unit having a high gain antenna, and mobile modem     with a web or client based feature to run over variable bandwidths to     connect, stay connected, or auto-reconnect a telemedicine session through     a hosted or cloud-based solution. The unit is lightweight, is     self-contained with a power source and a wireless signal, and is able to     be carried directly to a patient's location or permanently wired in an     ambulance. The modem also includes multiple cellular carriers' subscriber     identity module cards to improve signal strength. The unit has at least     one camera and/or medical diagnostic device that is operated by a medical     professional in the patient's presence. This is streamed live over a     cellular or satellite signal to a healthcare provider who is able to see,     interview and potentially diagnose the patient in real time, remotely.</t>
  </si>
  <si>
    <t>US20160350639</t>
  </si>
  <si>
    <t>Smart Backpack</t>
  </si>
  <si>
    <t>15/170621</t>
  </si>
  <si>
    <t>Tere; Riera Carrion; (San Juan, PR)</t>
  </si>
  <si>
    <t>A45C 11/00 20130101;  A45C 13/02 20130101;  A45F 3/04 20130101;  A45F 3/042 20130101;  A45C 2013/026 20130101;  A45F 2003/001 20130101;  A45F 2003/003 20130101;  A45F 2200/00 20130101</t>
  </si>
  <si>
    <t>A backpack comprised of color-coded compartments or dividers that are     provided for storing textbooks, binders, file folders, handouts, and the     like. The dividers include particular indicia and/or customizable indicia     for identifying the compartments. The identification tabs can be     color-coded or include identifying indicia. The backpack also includes a     priority folder and an item recognition system.</t>
  </si>
  <si>
    <t>US20160323827</t>
  </si>
  <si>
    <t>Mobile Hotspot UFI Device and Start-up Method</t>
  </si>
  <si>
    <t>15/108433</t>
  </si>
  <si>
    <t>LIU; Jiajun; (Shenzhen, CN); WANG; Jihong; (Shenzhen, CN)</t>
  </si>
  <si>
    <t>H04W 52/0296 20130101;  H02J 7/0052 20130101;  H04W 88/08 20130101;  Y02D 70/00 20180101;  H02J 2007/0095 20130101</t>
  </si>
  <si>
    <t>The embodiments provide a mobile hotspot UFI device and a start-up     method. The UFI device includes a battery, a main control chip, a power     management chip and a start-up control unit. The power management chip     internally provides a control signal at a first electric potential, and     when the control signal is at a second electric potential, the power     management chip controls the battery to supply electricity to hardware of     the UFI device. When the main control chip does not output a GPIO signal,     the start-up control unit conducts the external power supply to the     control signal, so as to make the control signal change from the first     electric potential to the second electric potential. When the main     control chip outputs the GPIO signal, the start-up control unit     disconnects the external power supply from the control signal.</t>
  </si>
  <si>
    <t>US20160255531</t>
  </si>
  <si>
    <t>Apparatus For Cooperating With a Mobile Device</t>
  </si>
  <si>
    <t>15/091090</t>
  </si>
  <si>
    <t>Stein; Zeev; (Holon, IL); Rahav; Ran; (Rosh Haayin, IL); Schreiber; Meir; (Maccabim, IL); Altman; Baruch; (Pardes Hana, IL)</t>
  </si>
  <si>
    <t>G06F 1/1632 20130101;  H04M 1/72527 20130101;  H04W 12/06 20130101;  H04M 2250/52 20130101;  H04W 28/021 20130101;  H04W 88/06 20130101;  H04M 1/72522 20130101;  H04L 63/18 20130101;  H04W 12/02 20130101;  H04L 65/80 20130101;  H04W 4/80 20180201;  G06F 1/1637 20130101;  H04W 72/0453 20130101</t>
  </si>
  <si>
    <t>US20160248736</t>
  </si>
  <si>
    <t>Encapsulation of Secure Encrypted Data in a Deployable, Secure     Communication System Allowing Benign, Secure Commercial Transport</t>
  </si>
  <si>
    <t>15/054534</t>
  </si>
  <si>
    <t>Comtech Telecommunications Corp.</t>
  </si>
  <si>
    <t>Anspach; Steve; (Tampa, FL); Salazar; Luke; (St. Petersburg, FL); Heyliger; Brian; (Wesley Chapel, FL); Kasson; Greg; (Clearwater, FL); West; Jeff; (Bandon, FL)</t>
  </si>
  <si>
    <t>H04L 63/029 20130101;  H04L 63/0428 20130101;  H04L 63/164 20130101</t>
  </si>
  <si>
    <t>Sensitive, Type 1 KIV-encrypted data is encapsulated into IP packets in a     remotely deployed, secure communication system. The IP packets are     addressed to a matching IP encapsulator/decapsulator device over the     public Internet or other IP protocol network, that then passes it to a     similar Type 1 KIV device for decryption. Thus, sensitive, encrypted data     is made to appear as if it were any other commercial network data,     cloaking it in the vast and busy world of the Internet. The present     invention is embodied in a system that provides secure Voice-Over-IP     (VOIP), video and data network functionality in a single, small size     deployable case, to a remote user. Most importantly, the embodiment     allows for the routing of bulk encrypted (i.e., secure) data over a     public network, e.g., the Internet.</t>
  </si>
  <si>
    <t>US20160119798</t>
  </si>
  <si>
    <t>ADAPTIVE COMMUNICATION FOR MOBILE ROUTER SYSTEMS</t>
  </si>
  <si>
    <t>14/923953</t>
  </si>
  <si>
    <t>Gil; Stephanie; (Pomona, NY); Kumar; Swarun Suresh; (Cambridge, MA); Katabi; Dina; (Cambridge, MA); Rus; Daniela; (Weston, MA)</t>
  </si>
  <si>
    <t>G01S 3/46 20130101;  H04W 24/02 20130101;  H04W 24/08 20130101;  G01S 13/90 20130101;  H04W 64/003 20130101</t>
  </si>
  <si>
    <t>An approach to adaptively positioning a set of mobile routers to provide communication services to a set of clients makes use of estimated direction profiles of communication between routers and clients. The approach does not rely on a Euclidean model in which communication characteristics (e.g., signal strength, data rate, etc.) depend on distance between communicating nodes, and does not necessarily require sampling of communication characteristics in unproductive directions in order to move the routers to preferable locations.</t>
  </si>
  <si>
    <t>US20160087687</t>
  </si>
  <si>
    <t>Communication in a wireless power transmission system</t>
  </si>
  <si>
    <t>14/822587</t>
  </si>
  <si>
    <t>WITRICITY CORPORATION</t>
  </si>
  <si>
    <t>WITRICITY</t>
  </si>
  <si>
    <t>Kesler; Morris P.; (Bedford, MA); Hall; Katherine L.; (Arlington, MA); Karalis; Aristeidis; (Boston, MA); Kurs; Andre B.; (Chestnut Hill, MA); Soljacic; Marin; (Belmont, MA); Kulikowski; Konrad; (Pine, CO); Campanella; Andrew J.; (Somerville, MA)</t>
  </si>
  <si>
    <t>H04B 5/0037 20130101;  H02J 50/12 20160201;  H02J 50/80 20160201</t>
  </si>
  <si>
    <t>A power transmitting unit receives, from a power receiving unit, a first out-of-band communication signal identifying the power receiving unit as being available to receive wireless power. The power transmitting unit transmits, to the power receiving unit, a second out-of-band communication signal including a request to transfer useful amounts of wireless power and receives a third out-of-band communication signal including first information about power transfer capability of the power receiving unit. The power transmitting unit transmits, to the power receiving unit, a fourth out-of-band communication signal including second information about power transfer capability of the power transmitting unit, and initiates transmission of the useful amounts of wireless power to the power receiving unit by verifying compatibility of the power transfer capability of the power transmitting unit and the power receiving unit based on the first information and the second information.</t>
  </si>
  <si>
    <t>US20160061663</t>
  </si>
  <si>
    <t>14/835638</t>
  </si>
  <si>
    <t>US20150288209</t>
  </si>
  <si>
    <t>14/624510</t>
  </si>
  <si>
    <t>H02J 7/0047 20130101;  H02J 7/0055 20130101;  H02J 7/0065 20130101;  H02J 2007/0059 20130101</t>
  </si>
  <si>
    <t>US20150257109</t>
  </si>
  <si>
    <t>SYSTEM FOR PORTABLE OBJECT MANAGEMENT AND METHOD FOR USE THEREOF</t>
  </si>
  <si>
    <t>14/639771</t>
  </si>
  <si>
    <t>JON LOU, INC.</t>
  </si>
  <si>
    <t>JON LOU</t>
  </si>
  <si>
    <t>KOULLIAS; Theodora; (Staten Island, NY); PETROV; Marinel; (Glendale, NY)</t>
  </si>
  <si>
    <t>H04W 52/0296 20130101;  H04W 52/0251 20130101;  H04M 1/185 20130101;  H04B 1/3888 20130101;  H04W 52/0258 20130101;  H02J 7/0042 20130101;  H02J 7/025 20130101;  H02J 50/10 20160201</t>
  </si>
  <si>
    <t>A system for portable object management and a method for use thereof is     presented. The system includes a portable power container having a power     supply and compartments shaped to store mobile devices. The mobile     devices are electrically coupled to an electrical distribution system     that supplies power from the power supply to the mobile devices. A     electronically readable tangible storage medium holds instructs that     cause a controller to monitor power consumption by the mobile device over     time and regulate the power supplied from the power supply to the mobile     devices. Methods of using this system are also disclosed.</t>
  </si>
  <si>
    <t>US20150237567</t>
  </si>
  <si>
    <t>MOBILE HOTSPOT DEVICE AND METHOD FOR ACCESSING NETWORK</t>
  </si>
  <si>
    <t>14/422420</t>
  </si>
  <si>
    <t>Xue; Rong; (Shenzhen, CN); Zhang; Jianhua; (Shenzhen, CN)</t>
  </si>
  <si>
    <t>H04W 88/04 20130101;  H04W 48/16 20130101;  H04W 88/08 20130101;  H04W 48/18 20130101;  H04W 88/10 20130101</t>
  </si>
  <si>
    <t>A mobile hotspot device and a method for accessing a network are     provided. The mobile hotspot device includes: an interface module, which     is configured to provide a power interface and data communication; and a     wireless communication module, which is coupled with the interface     module, and configured to provide a network access mode corresponding to     the power interface and control a terminal to access a network according     to a current network access mode. The solution effectively buckles two     independent products together, i.e. the interface module and the wireless     communication module, thereby maintaining the small volume of     conventional handheld terminals, facilitating to carry. In addition, the     solution supports various interface modes, and supports Local Area     Network (LAN) wired access, Wide Area Network (WAN) wireless access and     Wireless Fidelity (WiFi) LAN coverage functionally, which provides     various flexible network access modes for users. The solution meets     requirements for portability and miniaturization, has relatively high     universality, and is simple and feasible.</t>
  </si>
  <si>
    <t>US20150237217</t>
  </si>
  <si>
    <t>PORTABLE WIRELESS COMMUNICATIONS SYSTEMS</t>
  </si>
  <si>
    <t>14/380025</t>
  </si>
  <si>
    <t>TERRA FERMA INC.</t>
  </si>
  <si>
    <t>TERRA FERMA</t>
  </si>
  <si>
    <t>Roark; Dennis Leroy; (Monument, CO); Schmeyer; Donald William; (Colorado Springs, CO)</t>
  </si>
  <si>
    <t>A45C 15/00 20130101;  H02J 7/34 20130101;  A45C 13/02 20130101;  A45F 3/04 20130101;  A45C 2013/025 20130101;  A45F 2200/0508 20130101;  A45F 2200/0516 20130101;  A45F 2200/0525 20130101;  Y02E 10/766 20130101;  F16L 3/04 20130101;  H04M 1/725 20130101;  H02J 7/35 20130101;  H02J 7/0052 20130101;  H02J 7/0042 20130101;  F16L 3/2235 20130101;  F16L 3/06 20130101;  H04M 19/001 20130101;  H02J 7/355 20130101</t>
  </si>
  <si>
    <t>A mobile wireless communications system includes a container having an     interior compartment for holding one or more portable wireless     communication components. The container can be adapted in various ways to     facilitate use of the wireless communication components without having to     unpack the components from the container. The system can include a shroud     adapted to protect one or more electrical connections associated with     wires connecting components inside the container to external electrical     devices. The system can include a moveable support for holding one or     more of the wireless communication components in the container and     rotating the communication equipment to an orientation that provides     better access without removing the components from the container. The     system can also include features that help manage various wires that may     be used to connect wireless communication components inside the container     to other devices.</t>
  </si>
  <si>
    <t>US20150201761</t>
  </si>
  <si>
    <t>MODULAR CHILD CARRIER</t>
  </si>
  <si>
    <t>14/601133</t>
  </si>
  <si>
    <t>APPARENTLY TACTICAL, LLC</t>
  </si>
  <si>
    <t>APPARENTLY TACTICAL</t>
  </si>
  <si>
    <t>Wollenberg; Andrew R.; (Redwood City, CA)</t>
  </si>
  <si>
    <t>A47D 13/025 20130101;  A45F 3/04 20130101;  A45F 2003/003 20130101;  A45F 2003/146 20130101;  A45F 2200/0516 20130101;  A45F 2200/0525 20130101;  A45F 4/02 20130101;  A45F 5/00 20130101</t>
  </si>
  <si>
    <t>A modular carrier assembly is disclosed that incorporates structure     addressing the health, comfort and entertainment of a baby or young     child. The modular carrier assembly for a baby or young child includes a     vest portion, a baby carrier assembly attached to the front apron of the     vest portion, and a backpack assembly attached to the back apron of the     vest portion. The vest portion includes a pair of spaced shoulder straps,     a front apron, and a back apron. The baby carrier assembly has a receiver     portion with a width sufficient to support the child's hips.     Additionally, the backpack assembly counterbalances the baby carrier     assembly by offsetting at least a portion of the baby carrier assembly     weight with the backpack assembly weight, thereby facilitating ease of     operation by a wearer of the modular carrier assembly.</t>
  </si>
  <si>
    <t>US20150194839</t>
  </si>
  <si>
    <t>RECHARGEABLE BATTERY PACK</t>
  </si>
  <si>
    <t>14/589786</t>
  </si>
  <si>
    <t>OTTER PRODUCTS, LLCTREEFROG DEVELOPMENTS, INC.</t>
  </si>
  <si>
    <t>OTTER PRODUCTS</t>
  </si>
  <si>
    <t>Wojcik; James J.; (Kirkland, WA); Jebb; Michael E.; (Fort Collins, CO); Dalton; Dan L.; (Greeley, CO)</t>
  </si>
  <si>
    <t>H01M 10/46 20130101;  H01M 2/1094 20130101;  H01M 10/425 20130101;  H04Q 11/00 20130101;  H02J 7/0042 20130101;  H02J 50/80 20160201;  H02J 2007/0049 20130101;  H02J 2007/005 20130101;  H02J 50/12 20160201;  H02J 50/90 20160201;  H02J 7/025 20130101;  H02J 7/0047 20130101</t>
  </si>
  <si>
    <t>A rechargeable battery pack includes a housing, a rechargeable battery, a     first inductive coil, a second inductive coil, and electrical circuitry.     The first inductive coil is proximate a first surface of the housing and     configured for wirelessly receiving electrical power from an external     power source. The electrical circuitry stores the received electrical     power in the rechargeable battery. The second inductive coil is proximate     a second surface of the housing. The second inductive coil is configured     for wirelessly transmitting at least a portion of the received electrical     power stored in the rechargeable battery to the electronic device.</t>
  </si>
  <si>
    <t>US20150173472</t>
  </si>
  <si>
    <t>Mobile Office System</t>
  </si>
  <si>
    <t>14/135992</t>
  </si>
  <si>
    <t>HEALTH CARE SERVICE CORPORATION, A MUTUAL LEGAL RESERVE COMPANY</t>
  </si>
  <si>
    <t>HEALTH CARE SERVICE</t>
  </si>
  <si>
    <t>Gierke; Daniel A.; (Chicago, IL); DeNeault; Don W.; (Wheaton, IL); Guidotti; Bruce A,; (Steger, IL); McGoey; Eva M.; (Chicago, IL); Herrera; Jesus; (Chicago, IL); McGuffin; Addison; (Chicago, IL)</t>
  </si>
  <si>
    <t>G06F 1/1628 20130101;  A45C 15/00 20130101;  A45C 2011/002 20130101;  A45C 5/14 20130101;  A45C 13/02 20130101;  A45C 2013/025 20130101</t>
  </si>
  <si>
    <t>A mobile office system provides a portable, convenient, and efficient     framework for setting up communication devices, establishing     connectivity, and delivering interactive presentations. The mobile office     system includes a portable component carrier. Inside the portable     component carrier are component placement structures that define     placement locations at which the specific components of the mobile office     may be placed, stored, and secured. As one example, the component     placement structures may define slots configured to securely hold tablet     computers in place during movement of the portable component carrier.</t>
  </si>
  <si>
    <t>US20150163203</t>
  </si>
  <si>
    <t>Standard Telephone Equipment (STE) Based Deployable Secure Communication     System</t>
  </si>
  <si>
    <t>14/596497</t>
  </si>
  <si>
    <t>Anspach; Steven; (Tampa, FL)</t>
  </si>
  <si>
    <t>H04L 12/4633 20130101;  H04L 63/0428 20130101;  H04L 63/164 20130101;  H04L 63/30 20130101;  H04M 7/0078 20130101;  H04M 7/1245 20130101</t>
  </si>
  <si>
    <t>Sensitive, Standard Telephone Equipment (STE) data is encapsulated into     IP packets in a remotely deployed, secure communication system. The IP     packets are addressed to a matching IP encapsulator/decapsulator device     over the public Internet or other IP protocol network, that then passes     it to a similar STE device over an ISDN link for decryption. The present     invention is embodied in a system that provides secure Voice-Over-IP     (VOIP), video and data network functionality in a single, small size     deployable case, to a remote user. Most importantly, the embodiment     allows for the routing of bulk encrypted (i.e., secure) data over a     public network, e.g., the Internet.</t>
  </si>
  <si>
    <t>US20150141083</t>
  </si>
  <si>
    <t>HOTSPOT DEVICE</t>
  </si>
  <si>
    <t>14/086381</t>
  </si>
  <si>
    <t>Montevirgen; Anthony S.; (San Francisco, CA); Havskjold; David G.; (Portola Valley, CA)</t>
  </si>
  <si>
    <t>H04M 1/0208 20130101;  H04M 1/0243 20130101;  H04W 88/04 20130101</t>
  </si>
  <si>
    <t>Embodiments disclosed herein relate generally to a compact device for     providing Wi-Fi connectivity for an electronic device. The compact device     is rotatably activated and includes interchangeable batteries and indicia     indicating activation.</t>
  </si>
  <si>
    <t>US20150084769</t>
  </si>
  <si>
    <t>APPARATUS AND METHODS FOR GEOLOCATING AN INDIVIDUAL WITH RESPECT TO A     PERIMETER</t>
  </si>
  <si>
    <t>14/394401</t>
  </si>
  <si>
    <t>Messier; Yves; (Pointe-Claire, CA); Fama; Antonio; (Kirkland, CA); Miller; Brian; (Kirkland, CA); Gervais; Francois; (Montreal, CA); Baron; Jerome; (Montreal, CA); Marquis; Patrick-Olivier; (Sainte-Therese, CA)</t>
  </si>
  <si>
    <t>G01S 19/48 20130101;  Y02D 70/40 20180101;  Y02D 70/26 20180101;  G01S 5/0027 20130101;  G08B 21/0269 20130101;  Y02D 70/164 20180101;  G08B 21/0272 20130101;  H04B 1/385 20130101;  G08B 21/0286 20130101;  H01Q 1/273 20130101;  G01S 19/16 20130101;  G08B 21/0277 20130101;  G01S 19/34 20130101;  G08B 21/0225 20130101;  G08B 21/0446 20130101;  G08B 21/0211 20130101;  H04W 4/021 20130101;  G01S 19/17 20130101;  G08B 21/0461 20130101;  H01Q 1/40 20130101;  G08B 21/0261 20130101;  G08B 21/043 20130101;  Y02D 70/144 20180101;  H04B 2001/3861 20130101;  G08B 25/016 20130101;  G08B 21/0492 20130101;  G01S 19/10 20130101;  G01S 1/68 20130101;  Y02D 70/1222 20180101;  G06K 19/07762 20130101</t>
  </si>
  <si>
    <t>An improved wearable locator has an ultra-low power RF transceiver, GPS     receiver, cellular network RF transceiver, processor, programmable     non-volatile memory, LCD display, accelerometer and rechargeable battery.     To ensure that the locator is within a perimeter, it can cooperate with a     subordinate unit that includes an ultra-low power RF transceiver,     processor, power supply, DC charging output, rechargeable battery,     visual, audible and tactile enunciators and pushbutton, and can be     plugged into an outlet or be unplugged and be mobile. Other wireless     units can be used to define a perimeter.</t>
  </si>
  <si>
    <t>US20150072669</t>
  </si>
  <si>
    <t>PORTABLE CELLULAR NETWORK SYSTEM</t>
  </si>
  <si>
    <t>14/024630</t>
  </si>
  <si>
    <t>Mar; Jack K.; (Vancouver, CA); Jin; Yichuang; (Vancouver, CA)</t>
  </si>
  <si>
    <t>H04W 88/08 20130101;  H04W 16/24 20130101;  H04W 8/245 20130101;  H04M 1/72522 20130101;  H04M 1/72525 20130101</t>
  </si>
  <si>
    <t>A system for setting up a cellular network is provided. The system     includes a base station module and a core network module. The base     station module has a transmitter, a receiver, and a processor configured     to provide base station functions to handle transmission and reception of     radio signals to and from cellular devices within the cellular network     via the transmitter and receiver. The core network module has a processor     configured to provide core network functions to handle cellular     communication services for the cellular devices. The system has a switch     connected to supply power to the base station module and the core network     module from a power source. Activating the switch causes the base station     functions and core network functions to be automatically and     systematically started up to enable full functionality of the cellular     network system. The system is sufficiently compact so that it can be     carried by hand.</t>
  </si>
  <si>
    <t>US20150071163</t>
  </si>
  <si>
    <t>Portable Wireless Mesh Device</t>
  </si>
  <si>
    <t>14/484604</t>
  </si>
  <si>
    <t>OLEA NETWORKS</t>
  </si>
  <si>
    <t>Mackie; David; (Austin, TX)</t>
  </si>
  <si>
    <t>H01Q 9/18 20130101;  H04L 69/08 20130101;  H01Q 1/42 20130101;  H01Q 9/14 20130101;  H01Q 9/16 20130101;  H01Q 9/22 20130101;  H01Q 21/062 20130101;  H01Q 5/307 20150115;  H01Q 5/42 20150115;  G01S 5/00 20130101;  H04L 65/00 20130101;  H04M 1/00 20130101;  H04W 4/029 20180201;  H04B 1/3888 20130101;  G01S 5/0289 20130101;  H01Q 1/246 20130101</t>
  </si>
  <si>
    <t>A wireless mesh network comprising a plurality of mobile mesh devices     coupled as nodes in a mesh network topology is provided herein. Generally     speaking, each mobile mesh device may be a portable, self-contained unit,     which does not require network or power wiring to communicate network     traffic between the nodes. According to one embodiment, the mobile mesh     device may include a small cell gateway for capturing, converting and     re-routing cellular signals throughout and beyond the wireless mesh     network. According to another embodiment, the mobile mesh device may     include a real-time locating services (RTLS) hardware/software engine for     capturing network traffic, identifying the identity and location of the     device transmitting the network traffic, and triggering an action in     response to either the identity and/or the location of the transmitting     device. In some embodiments, the RTLS hardware/software engine may be     combined with the small cell gateway to automatically re-route converted     cellular signals throughout and beyond the wireless mesh network based on     the identity of captured data packets.</t>
  </si>
  <si>
    <t>US20150056980</t>
  </si>
  <si>
    <t>TRANSPORTABLE TELECOMMUNICATION INTERCONNECTION DEVICE</t>
  </si>
  <si>
    <t>14/390125</t>
  </si>
  <si>
    <t>TELFLEX TECHNOLOGIE INC.</t>
  </si>
  <si>
    <t>TELFLEX TECHNOLOGIE</t>
  </si>
  <si>
    <t>Grondin; Jean-Philippe; (Sainte-Helene-de-Breakeyville, CA); Gagnon; Martin; (Saint-Nicolas, CA)</t>
  </si>
  <si>
    <t>H04W 4/18 20130101;  H04W 88/14 20130101;  H04M 3/308 20130101</t>
  </si>
  <si>
    <t>A transportable telecommunication interconnection device for     interconnecting a plurality of communication devices to a     telecommunication network, comprising: a transportable enclosure     comprising an end wall and a peripheral wall extending along an axis from     the end portion and defining a chamber, the transportable enclosure     further comprising a separation wall positioned within the chamber at a     given position along the axis to define an enclosed compartment and an     open compartment within the chamber; a chamber cover for removably     closing the open compartment; input and output port connectors extending     through at least one wall defining the enclosed compartment, the input     port connectors for connection to the communication network and the     output port connectors for connection to the plurality of communication     devices; and a processing device positioned within the enclosed     compartment, connected to the input and output ports, and configured for     interconnecting the input port connectors to the output port connectors.</t>
  </si>
  <si>
    <t>US20150046709</t>
  </si>
  <si>
    <t>14/494961</t>
  </si>
  <si>
    <t>US20140376646</t>
  </si>
  <si>
    <t>HYBRID WI-FI AND POWER ROUTER TRANSMITTER</t>
  </si>
  <si>
    <t>13/926055</t>
  </si>
  <si>
    <t>Leabman; Michael A.; (San Ramon, CA); Brewer; Gregory Scott; (Livermore, CA)</t>
  </si>
  <si>
    <t>H02J 50/80 20160201;  H04B 1/04 20130101;  H02J 7/025 20130101;  H02J 50/00 20160201;  H02J 50/40 20160201;  H02J 50/23 20160201;  H04B 3/54 20130101;  H02J 50/90 20160201</t>
  </si>
  <si>
    <t>The present disclosure may provide an hybrid transmitter which may be     used to provide wireless power transmission (WPT). In some embodiments,     hybrid transmitters may include antenna elements designed to transmit     WI-Fi signal or to function as power router which may function     simultaneously. In other embodiments, hybrid transmitters may only     transmit a single signal and a switch may change the operation mode. In     addition, transmitters may include communications components which may     allow for communication to various electronic equipment including phones,     computers and others.</t>
  </si>
  <si>
    <t>US20140349569</t>
  </si>
  <si>
    <t>PORTABLE WIRELESS NODE AUXILIARY RELAY</t>
  </si>
  <si>
    <t>13/956107</t>
  </si>
  <si>
    <t>Elwha Llc (Intellectual Ventures)</t>
  </si>
  <si>
    <t>ELWHA</t>
  </si>
  <si>
    <t>Hyde; Roderick A.; (Redmond, WA); Levien; Royce A.; (Lexington, MA); Lord; Richard T.; (Tacoma, WA); Lord; Robert W.; (Seattle, WA); Malamud; Mark A.; (Seattle, WA); Reudink; Douglas O.; (Port Townsend, WA); Tegreene; Clarence T.; (Mercer Island, WA)</t>
  </si>
  <si>
    <t>H04B 7/1555 20130101;  H04W 16/26 20130101;  H04B 7/15507 20130101</t>
  </si>
  <si>
    <t>Disclosed herein are example embodiments for portable wireless node auxiliary relay. For certain example embodiments, at least one device, such as an auxiliary relay item: (i) may serve as a relay between a portable wireless node and a fixed wireless node; or (ii) may communicate with at least one of a portable wireless node or a fixed wireless node using one or more antenna assembly configuration parameters that are associated with at least one orientation position. However, claimed subject matter is not limited to any particular described embodiments, implementations, examples, or so forth.</t>
  </si>
  <si>
    <t>US20140326771</t>
  </si>
  <si>
    <t>SELF-WEIGHING BACKPACK WITH WEIGHT NOTIFICATION FEATURES</t>
  </si>
  <si>
    <t>13/886494</t>
  </si>
  <si>
    <t>ALMALKI; Bader Abdullah; (Mankato, MN)</t>
  </si>
  <si>
    <t>A45F 3/04 20130101;  G01G 19/52 20130101;  G01G 19/44 20130101;  A45C 15/00 20130101;  G01G 19/58 20130101</t>
  </si>
  <si>
    <t>A self-weighing backpack includes a container body that is connected to     right and left carry straps that include strain gauges. Processing     circuitry is included that compares dynamic force measurements to a     predetermined threshold force and generates an alert when the     predetermined threshold force is exceeded.</t>
  </si>
  <si>
    <t>US20140301490</t>
  </si>
  <si>
    <t>INGRESS-MITIGATED RF CABLE PLANTS AND INGRESS MITIGATION METHODS FOR SAME</t>
  </si>
  <si>
    <t>14/034261</t>
  </si>
  <si>
    <t>CERTUSVIEW TECHNOLOGIES, LLC</t>
  </si>
  <si>
    <t>CERTUSVIEW</t>
  </si>
  <si>
    <t>Nielsen; Steven E.; (North Palm Beach, FL); Totten; Ronald; (Strafford, NH); Halky; Travis; (Jupiter, FL)</t>
  </si>
  <si>
    <t>H04B 3/50 20130101;  H04B 10/0773 20130101;  H04J 3/00 20130101;  H04J 3/1694 20130101;  H04W 52/225 20130101;  H04L 43/0823 20130101;  H04B 10/2575 20130101;  H04N 21/6118 20130101;  H04N 21/6168 20130101;  H04B 10/1143 20130101;  H04Q 11/0067 20130101;  H04B 10/25751 20130101;  H04N 17/00 20130101;  H04L 43/08 20130101;  H04N 17/004 20130101;  H04N 21/6175 20130101;  H04B 3/02 20130101;  H04B 10/03 20130101;  H04B 3/46 20130101</t>
  </si>
  <si>
    <t>An RF hardline coaxial cable plant to facilitate voice and/or data     services to subscriber premises in one or more neighborhood nodes of a     cable communication system by conveying upstream information over an     upstream path bandwidth. One or more upstream radio frequency (RF)     signals have a carrier frequency of between approximately 5 MHz and 19.6     MHz and are modulated using quadrature amplitude modulation (QAM) with     voice and/or data information constituting at least some of the upstream     information. An example RF signal defines a channel having an average     channel power, and a highest value for an average noise power between 5     MHz and 19.6 MHz in the upstream path bandwidth of a given neighborhood     node, as measured over at least a 24 hour period, is at least 25 decibels     (dB) below the average channel power and/or less than 20 decibels (dB)     above a noise floor associated with the neighborhood node.</t>
  </si>
  <si>
    <t>US20140282783</t>
  </si>
  <si>
    <t>HYBRID FIBER-COAXIAL (HFC) CABLE COMMUNICATION SYSTEMS HAVING WELL-ALIGNED     OPTICAL AND RADIO-FREQUENCY LINKS TO FACILITATE UPSTREAM CHANNEL PLANS     HAVING HIGH AGGREGATE DATA CAPACITY</t>
  </si>
  <si>
    <t>14/216584</t>
  </si>
  <si>
    <t>Totten; Ronald; (Strafford, NH); West; Lamar; (Maysville, GA)</t>
  </si>
  <si>
    <t>H04L 12/2885 20130101;  H04N 21/61 20130101;  H04B 10/25751 20130101;  H04B 10/2575 20130101;  H04J 14/08 20130101</t>
  </si>
  <si>
    <t>An HFC cable communication system comprising: a CMTS having a first     attenuator to attenuate one or more upstream signals applied to the CMTS;     an optical link having a dynamic range and comprising an optical receiver     having a second attenuator to attenuate the upstream signal(s) and an     optical transmitter having a third attenuator to attenuate the upstream     signal(s); a coaxial RF link comprising one or more RF amplifiers having     a fourth attenuator to attenuate the upstream signal(s); and one or more     subscriber modems to generate the upstream signal(s) at respective     transmit RF signal levels. The CMTS implements a long loop ALC to set the     transmit RF signal level(s) based on received RF signal levels of the     upstream signal(s) at the CMTS. Respective values for the first, second,     third and fourth attenuators are selected based on the dynamic range of     the optical link so as to facilitate implementation of the long loop ALC     and effective transmission of upstream information carried by the     upstream signal(s).</t>
  </si>
  <si>
    <t>US20140269553</t>
  </si>
  <si>
    <t>APPARATUS FOR COOPERATING WITH A MOBILE DEVICE</t>
  </si>
  <si>
    <t>14/199324</t>
  </si>
  <si>
    <t>STEIN; Zeev; (Holon, IL); RAHAV; Ran; (Tel-Aviv, IL); SCHREIBER; Meir; (Maccabim, IL); ALTMAN; Baruch; (Pardes Hana, IL)</t>
  </si>
  <si>
    <t>H04M 1/72527 20130101;  H04W 12/08 20130101;  H04M 2250/52 20130101;  H04W 12/06 20130101;  H04W 4/80 20180201;  G06F 1/1635 20130101;  G06F 1/1637 20130101;  G06F 1/1632 20130101;  G06F 1/163 20130101</t>
  </si>
  <si>
    <t>An apparatus for cooperating with a mobile device having an embedded     transceiver is disclosed. The apparatus includes a housing and a     mechanical connector on the housing, the mechanical connector being     configured to mechanically retain the mobile device. At least one port     within the housing conveys energy to at least one auxiliary wireless     transceiver associable with the apparatus. The apparatus is configured to     cooperate with the mobile device when the mobile device is retained on     the housing by the mechanical connector, to enable transmission of a     first portion of a data stream over the at least one auxiliary     transceiver while a second portion of the data stream is simultaneously     transmitted over the embedded transceiver.</t>
  </si>
  <si>
    <t>US20140266970</t>
  </si>
  <si>
    <t>Automatically Deployable Communications System</t>
  </si>
  <si>
    <t>13/836801</t>
  </si>
  <si>
    <t>Cubic Corporation</t>
  </si>
  <si>
    <t>CUBIC</t>
  </si>
  <si>
    <t>Clayton; William R.; (Huntsville, AL); Gierow; Paul A.; (Madison, AL)</t>
  </si>
  <si>
    <t>H01Q 1/082 20130101;  H01Q 1/08 20130101;  H01Q 1/081 20130101;  H01Q 1/125 20130101;  H01Q 1/1235 20130101;  H01Q 1/14 20130101;  H01Q 3/08 20130101;  H01Q 15/163 20130101;  H01Q 19/13 20130101</t>
  </si>
  <si>
    <t>An automatically deployable, portable communications system includes an     inflatable antenna stored in a case that also houses the antenna support     assembly, drive mechanisms, inflation control modules, power supply     modules and a control system. The case also includes a switch configured     to close a circuit with the power supply module and initiate deployment     and operation of the antenna when the case lid is opened.</t>
  </si>
  <si>
    <t>US20140226645</t>
  </si>
  <si>
    <t>PORTABLE WIRELESS COMMUNICATIONS APPARATUS</t>
  </si>
  <si>
    <t>14/343611</t>
  </si>
  <si>
    <t xml:space="preserve">Bae Systems </t>
  </si>
  <si>
    <t>BAE SYSTEMS INFORMATION AND ELECTRONIC SYSTEMS INTEGRATION</t>
  </si>
  <si>
    <t>Tween; Larry Brian; (Writtle, GB); Pinto; Jonathan; (New Town, GB)</t>
  </si>
  <si>
    <t>H04W 84/005 20130101;  H04B 1/385 20130101;  H01Q 1/273 20130101;  H01Q 9/285 20130101;  G06F 1/163 20130101;  G06F 1/1698 20130101;  H04W 40/00 20130101;  H04W 88/08 20130101</t>
  </si>
  <si>
    <t>A small, portable wireless router combined with a wideband, wearable     antenna supports a local wireless network created on the move for     exchanging information between multiple personnel spread over a useful     geographic area. Multiple information sources of different types, such as cameras and GPS,     can use the network to send information feeds to mobile users with     interface devices such as smartphones that can deliver multiple feeds at     the same time to the user. Devices connected to other networks, such as     information processing devices at fixed operating bases, can deliver     information feeds to the network.</t>
  </si>
  <si>
    <t>US20140103720</t>
  </si>
  <si>
    <t>14/109156</t>
  </si>
  <si>
    <t>G06F 1/263 20130101;  H02J 5/00 20130101;  H02J 7/0021 20130101;  H02J 7/0027 20130101;  H02J 7/02 20130101;  H02J 4/00 20130101;  Y10T 307/313 20150401;  Y10T 307/406 20150401;  Y10T 307/76 20150401;  Y10T 307/258 20150401;  Y10T 307/461 20150401;  H02J 2007/0001 20130101;  H02M 5/04 20130101;  H02M 3/04 20130101;  H02J 7/0068 20130101;  H02J 1/00 20130101;  G06F 13/4022 20130101;  G06F 1/3287 20130101;  G06F 1/266 20130101;  H02M 7/04 20130101;  Y02D 10/14 20180101;  Y02D 10/151 20180101;  H02J 7/0004 20130101</t>
  </si>
  <si>
    <t>US20140061273</t>
  </si>
  <si>
    <t>ESCAPE AND SURVIVAL SYSTEM</t>
  </si>
  <si>
    <t>13/790904</t>
  </si>
  <si>
    <t>MILSPRAY LLC</t>
  </si>
  <si>
    <t>MILSPRAY</t>
  </si>
  <si>
    <t>Bullivant; Todd; (Rumson, NJ); Scarpulla; Brian; (Toms River, NJ); DeSerio; Elizabeth; (Forked River, NJ); Johnston; Matthew L.; (Toms River, NJ); Hayford, III; Jack; (Brick, NJ)</t>
  </si>
  <si>
    <t>A45F 3/06 20130101;  A45F 2003/003 20130101;  A45F 3/04 20130101</t>
  </si>
  <si>
    <t>A portable, stylish, comprehensively stocked emergency escape and     survival package gives the user ability to successfully confront diverse     emergency and disaster conditions most likely encountered in the urban or     suburban environment. The package is a system of a backpack carrying case     and numerous components stored within the case. Each component is a tool,     supply or other article selected for use in a particular aspect of an     emergency or survival situation. Additionally, the package includes     separate stowage capacity for routine business tools, such as files,     computer, calculator and the like. Components of the system include,     among others, a radiation sensor, a ballistic resistant panel, solar     charging station for an included rechargeable battery, and cables and     adapters for supplying power to diverse portable electronic devices.</t>
  </si>
  <si>
    <t>US20140057636</t>
  </si>
  <si>
    <t>MOBILE CELLULAR NETWORKS</t>
  </si>
  <si>
    <t>13/972112</t>
  </si>
  <si>
    <t>OCEUS NETWORKS, INC.</t>
  </si>
  <si>
    <t>OCEUS NETWORKS</t>
  </si>
  <si>
    <t>Schemagin; Pamela; (Plano, TX); Graffagnino; Vincent; (Rockwall, TX); Rytilahti; Jouko; (Dallas, TX); Gibbs; Ian; (McKinney, TX); McGovern; James; (Richardson, TX); Green; John; (Garland, TX); Collins; Kyle; (Plano, TX)</t>
  </si>
  <si>
    <t>H04W 76/10 20180201;  H04W 84/005 20130101;  H04W 36/32 20130101;  H04W 36/14 20130101;  H04W 84/20 20130101;  H04W 8/26 20130101;  H04W 4/023 20130101;  H04W 84/042 20130101</t>
  </si>
  <si>
    <t>Multiple mobile cellular network (MCN) communication systems can be     networked together to form a network of MCN communication systems (NOM).     Each MCN communication system within the NOM can operate as an     independent cellular network to provide communications between user     equipment within a covered area. When a UE in one MCN of the NOM moves     into a different MCN of the NOM, the corresponding MCN communication     systems can handover the UE. The UE can also be handed over between MCN     communication systems when the MCN communication systems move.</t>
  </si>
  <si>
    <t>US20140057626</t>
  </si>
  <si>
    <t>13/972169</t>
  </si>
  <si>
    <t>Uelk; Joseph L.; (Dallas, TX); Hill; Chris; (Plano, TX)</t>
  </si>
  <si>
    <t>H04W 24/08 20130101;  H04W 24/00 20130101;  H04L 41/042 20130101;  H04L 41/044 20130101;  H04L 41/22 20130101;  H04W 16/32 20130101;  H04L 43/16 20130101;  H04L 41/06 20130101;  H04L 41/12 20130101;  H04W 16/18 20130101;  H04W 88/18 20130101;  H04L 41/069 20130101;  H04W 84/005 20130101;  H04W 24/04 20130101</t>
  </si>
  <si>
    <t>Multiple mobile cellular network (MCN) communication systems can be networked together to form a network of MCN communication systems (NOM). Each MCN communication system within the NOM can operate as an independent cellular network to provide communications between user equipment within a covered area. The MCN can be managed by a network management control center (NMCC). The NMCC can be configured generate coverage maps of the NOM and NMC system coverage areas.</t>
  </si>
  <si>
    <t>US20140047489</t>
  </si>
  <si>
    <t>METHODS FOR INGRESS MITIGATION IN CABLE COMMUNICATION SYSTEMS INVOLVING     REPAIR, REPLACEMENT AND/OR ADJUSTMENT OF INFRASTRUCTURE ELEMENTS</t>
  </si>
  <si>
    <t>14/054771</t>
  </si>
  <si>
    <t>Methods for reducing ingress in a neighborhood node of a cable     communication system. The node includes an RF hardline coaxial cable     plant and multiple subscriber service drops to convey upstream     information from multiple subscriber premises over an upstream path     bandwidth. A test signal having a frequency falling within the upstream     path bandwidth is transmitted proximate to one or more potential points     of ingress into the hardline cable plant. Based on signal amplitudes at     the test signal frequency representing test signal ingress into the     hardline cable plant, one or more faults in the hardline cable plant are     specifically identified and remediated so as to significantly reduce a     noise power in the node in at least a portion of the upstream path     bandwidth below approximately 20 MHz. In one example, hardline     plant-related and/or subscriber-related faults are remediated so as to     significantly reduce ingress arising from terrestrial short wave radio     signals.</t>
  </si>
  <si>
    <t>US20130342011</t>
  </si>
  <si>
    <t>13/620086</t>
  </si>
  <si>
    <t>Robinson; Philip T.; (Harvard, MA); Dziengeleski; Seth M.; (Southbridge, MA); Kazmierczak; James K.; (Marlborough, MA); Holigan; David J.; (Atkinson, NH)</t>
  </si>
  <si>
    <t>US20130204458</t>
  </si>
  <si>
    <t>SYSTEM, A METHOD AND, AN APPARATUS FOR VEHICULAR COMMUNICATION</t>
  </si>
  <si>
    <t>13/727952</t>
  </si>
  <si>
    <t>TATA CONSULTANCY SERVICES, LTD.</t>
  </si>
  <si>
    <t>TATA CONSULTANCY</t>
  </si>
  <si>
    <t>Purushothaman; Balamuralidhar; (Bangalore, IN); Srinivasarengan; Krishnan; (Bangalore, IN)</t>
  </si>
  <si>
    <t>B60Q 5/00 20130101;  G08G 1/087 20130101;  G08G 1/094 20130101;  G08G 1/0965 20130101;  G08G 1/149 20130101;  G07C 5/008 20130101;  H04B 11/00 20130101;  G10L 19/018 20130101</t>
  </si>
  <si>
    <t>A system and method vehicle-to-mobile communication using a smart horn     (515) comprising, a first processor (520) embedded in the vehicle,     configured to generate and broadcast a plurality of sound waves having     two spectrums, an audible spectrum and an inaudible spectrum, the sound     waves comprising a plurality of information embedded (530) into the     inaudible spectrum. A vehicle-embedded system (505) coupled to the said     first processor (520) to capture a plurality of signals associated with     the vehicle-embedded system. A second processor embedded in a receiving     device (540) configured to capture and interpret the plurality of     information embedded into the inaudible spectrum. The receiving device     (540) comprising an application (545) that enables the receiving device     (540) to interpret the plurality of information embedded in the inaudible     sound spectrum captured by at least one microphone (535).</t>
  </si>
  <si>
    <t>US20130196593</t>
  </si>
  <si>
    <t>PORTABLE THROUGH-THE-EARTH RADIO</t>
  </si>
  <si>
    <t>13/318025</t>
  </si>
  <si>
    <t>Roper; Michael; (Ottawa, CA); Svilans; Markus; (Chelmsford, CA); Kwasnick; Peter; (Dunrobin, CA); Puzakov; Vladimir; (Kanata, CA)</t>
  </si>
  <si>
    <t>H04B 5/0081 20130101;  H04B 13/02 20130101</t>
  </si>
  <si>
    <t>The present invention provides an apparatus for portable     through-the-earth radio (PTTER). The PTTER provides bidirectional voice     and/or data communication between a surface radio and a portable radio.     The PTTER also provides a transmit antenna having a primary loop and one     or more secondary loops configured to increase the magnetic field     produced by the primary loop. The PTTER also provides a transportable     loop antenna that can be wound around a form for transportation. The     PTTER also provides a receive antenna optimal for implementing noise     cancellation. The PTTER also provides a navigation subsystem for     detecting distance and direction to increase the effective range of the     PTTER. The PTTER can be implemented in a backpack form factor.</t>
  </si>
  <si>
    <t>US20130186828</t>
  </si>
  <si>
    <t>METHOD FOR POWERING PORTABLE DIALYSIS MACHINE</t>
  </si>
  <si>
    <t>13/735181</t>
  </si>
  <si>
    <t>BAXTER HEALTHCARE S.A.</t>
  </si>
  <si>
    <t>BAXTER HEALTHCARE</t>
  </si>
  <si>
    <t>Bedingfield; John A.; (Largo, FL); Kienman; Richard E.; (Tampa, FL); Lauman; Brian C.; (Clearwater, FL)</t>
  </si>
  <si>
    <t>A61M 1/16 20130101;  A61M 2205/8268 20130101;  A61M 1/166 20140204;  A61M 1/284 20140204;  A61M 1/14 20130101;  A61M 1/28 20130101;  A61M 2209/088 20130101;  Y10T 307/625 20150401;  A61M 2205/50 20130101</t>
  </si>
  <si>
    <t>A method for operating a medical fluid machine, the method comprising:     (i) if alternating current ("AC") power is available, charging a battery,     if needed, and powering the medical fluid machine with the AC power; and     (ii) if AC power is not available (a) if fuel cell power is available,     charging the battery, if needed, and powering the medical fluid machine     with the fuel cell power; and (b) if fuel cell power is not available,     powering the medical fluid machine using battery power until the AC power     or fuel cell power is available.</t>
  </si>
  <si>
    <t>US20130099563</t>
  </si>
  <si>
    <t>13/708520</t>
  </si>
  <si>
    <t>Partovi; Afshin; (Sunnyvale, CA); Sears; Michael; (Ben Lomond, CA)</t>
  </si>
  <si>
    <t>US20130094369</t>
  </si>
  <si>
    <t>ITERATIVE MAPPING METHODS FOR INGRESS MITIGATION IN CABLE COMMUNICATION     SYSTEMS</t>
  </si>
  <si>
    <t>13/669092</t>
  </si>
  <si>
    <t>Nielsen; Steven; (North Palm Beach, FL); Totten; Ronald; (Strafford, NH); Halky; Travis; (Jupiter, FL)</t>
  </si>
  <si>
    <t>Methods for reducing ingress in a neighborhood node of a cable     communication system. The node includes a hardline cable plant and     multiple subscriber service drops to convey upstream information from     multiple subscriber premises over an upstream path bandwidth. A mobile     broadcast apparatus equipped with a transmitter is directed along a drive     path proximate to the hardline plant, and a test signal having a     frequency falling within the upstream path bandwidth is broadcast along     the drive path. Respective positions of the broadcast apparatus, and     signal amplitudes at the test signal frequency representing test signal     ingress in the node due to one or more hardline plant-related and/or     subscriber-related faults, are recorded, and a neighborhood node ingress     map is generated. Following remediation of one or more faults based on     the map, the process is repeated to generate one or more additional     iterations of the map to document a progression of ingress mitigation     efforts.</t>
  </si>
  <si>
    <t>US20130070610</t>
  </si>
  <si>
    <t>MOBILE COMMUNICATIONS SYSTEM, SUCH AS A DEPLOYABLE SELF-CONTAINED PORTABLE     SYSTEM</t>
  </si>
  <si>
    <t>13/586781</t>
  </si>
  <si>
    <t>PACIFIC STAR COMMUNICATIONS, INC.</t>
  </si>
  <si>
    <t>PACIFIC STAR COMMUNICATIONS</t>
  </si>
  <si>
    <t>Buchholz; Ampy; (Tualatin, OR); Barber; Jim; (Beaverton, OR); Forman; Bob; (Tigard, OR); Hoffmann; Christopher J.; (Portland, OR); Frisbee; Robert; (Lake Oswego, OR); Kawasaki; Charlie; (Portland, OR); O'Connor; Kevin; (Beaverton, OR)</t>
  </si>
  <si>
    <t>H04W 84/10 20130101</t>
  </si>
  <si>
    <t>Systems and methods for establishing IT services in edge environments are     described. In some examples, the system comprises a transportable housing     capable of being carried by personnel, a plurality of commercial     off-the-shelf components contained in the housing and coupled together     and configured to provide the broadband communications network, a     software management system operatively coupled to the plurality of     components, a network connection subsystem defined by at least a first     portion of the plurality of components and configured to establish access     to the broadband communications network, and a connection subsystem     defined by at least a second portion of the plurality of components and     that provides a user with a connection to the broadband communications     network via the network connection subsystem</t>
  </si>
  <si>
    <t>US20130069874</t>
  </si>
  <si>
    <t>Game-style universal computer controller</t>
  </si>
  <si>
    <t>13/200174</t>
  </si>
  <si>
    <t>BOKAM ENGINEERING, INC.</t>
  </si>
  <si>
    <t>BOKAM ENGINEERING</t>
  </si>
  <si>
    <t>Kamentser; Boris; (Fountain Valley, CA); Kamentser; Eugenia; (Fountain Valley, CA)</t>
  </si>
  <si>
    <t>G06F 3/0338 20130101;  G06F 3/0362 20130101</t>
  </si>
  <si>
    <t>A computer controller configured to meet the environmental and physical     requirements that are encountered in gaming or by military personnel. The     controller provides a display, cursor movement control devices and a     plurality of switches, joysticks and the like for responding to     display-generated functions such as icons for selecting programs. This     embodiment is hard wired to the remaining components of a full computer     system. Such components would normally be contained in the same housing     or be carried by a user in a backpack or mounted on waistbelts or other     body-supported wearables. In another embodiment, an attachable version of     the controller is used to transform an existing portable computer such as     a tablet or the like. The controller is configured to be attached to the     portable computer to provide trigger switches, joysticks, push buttons     and the like for a more rugged or gaming configuration.</t>
  </si>
  <si>
    <t>US20130064549</t>
  </si>
  <si>
    <t>INGRESS-MITIGATED CABLE COMMUNICATION SYSTEMS AND METHODS HAVING INCREASED     UPSTREAM CAPACITY FOR SUPPORTING VOICE AND/OR DATA SERVICES</t>
  </si>
  <si>
    <t>13/669154</t>
  </si>
  <si>
    <t>Cable communication systems and methods to provide voice and/or data     services to subscriber premises in one or more neighborhood nodes via an     ingress-mitigated cable plant that conveys upstream information over an     upstream path bandwidth. One or more upstream radio frequency (RF)     signals have a carrier frequency of between approximately 5 MHz and 19.6     MHz and are modulated using quadrature amplitude modulation (QAM) with     voice and/or data information constituting at least some of the upstream     information. An example RF signal defines a channel having an average     channel power, and a highest value for an average noise power between 5     MHz and 19.6 MHz in the upstream path bandwidth of a given neighborhood     node, as measured over at least a 24 hour period, is at least 25 decibels     (dB) below the average channel power and/or less than 20 decibels (dB)     above a noise floor associated with the neighborhood node.</t>
  </si>
  <si>
    <t>US20130064279</t>
  </si>
  <si>
    <t>13/669064</t>
  </si>
  <si>
    <t>US20130039279</t>
  </si>
  <si>
    <t>System, Method, and Device for Routing Calls Using a Distributed Mobile     Architecture</t>
  </si>
  <si>
    <t>13/648704</t>
  </si>
  <si>
    <t>LEMKO, CORPORATION</t>
  </si>
  <si>
    <t>LEMKO</t>
  </si>
  <si>
    <t>Pan; Shaowei; (Kildeer, IL)</t>
  </si>
  <si>
    <t>H04W 40/00 20130101;  H04W 88/16 20130101;  H04L 65/102 20130101;  H04L 65/1069 20130101;  H04W 92/24 20130101</t>
  </si>
  <si>
    <t>A method includes transmitting communications information from a first     DMA gateway of a DMA gateway communication network to a second DMA     gateway of the DMA gateway communication network. The communications     information is associated with a communication network that is accessible     to the first DMA gateway. The method includes receiving a communication     from the second DMA gateway via the DMA gateway communication network.     The communication network and the DMA communication network are     different. The communication is associated with a destination device that     is indicated by the communications information to be served by the     communication network that is accessible to the first DMA gateway. The     method includes routing the communication to the destination device</t>
  </si>
  <si>
    <t>US20130028418</t>
  </si>
  <si>
    <t>13/628177</t>
  </si>
  <si>
    <t>Anspach; Steven S.; (Tampa, FL)</t>
  </si>
  <si>
    <t>US20130004179</t>
  </si>
  <si>
    <t>Neighborhood node mapping methods and apparatus for ingress mitigation in     cable communication systems</t>
  </si>
  <si>
    <t>13/539383</t>
  </si>
  <si>
    <t>A mobile transmitter traverses a drive path in a neighborhood node of a     cable communication system and broadcasts a test signal at frequencies     falling within an upstream path bandwidth. A navigational device     generates a first record of positions of the transmitter along the drive     path, and an analyzer monitors the upstream path bandwidth and generates     a second record of received signal amplitudes of the transmitted test     signal as a function of time. An ingress map is generated showing the     drive path and potential points of ingress in the node, and employed to     remediate faults particularly in the hardline coaxial cable plant.     Iterative generation of maps and corresponding remediation in the node     enable improved cable communication systems with reduced noise profiles     between 5 MHz and 20 MHz and employing higher modulation order QAM     communication channels (e.g., 256-QAM and higher) throughout the upstream     path bandwidth to increase upstream capacity.</t>
  </si>
  <si>
    <t>US20120313742</t>
  </si>
  <si>
    <t>Compact resonators for wireless energy transfer in vehicle applications</t>
  </si>
  <si>
    <t>13/536435</t>
  </si>
  <si>
    <t>Kurs; Andre B.; (Chestnut Hill, MA); Kesler; Morris P.; (Bedford, MA); Efe; Volkan; (Watertown, MA); McCauley; Alexander Patrick; (Cambridge, MA)</t>
  </si>
  <si>
    <t>B60L 11/182 20130101;  B60L 11/184 20130101;  B60L 11/1842 20130101;  B60L 11/1844 20130101;  B60L 11/1846 20130101;  B60L 11/1848 20130101;  B60L 2200/12 20130101;  B60L 2200/22 20130101;  B60L 2210/10 20130101;  B60L 2210/20 20130101;  B60L 2210/30 20130101;  B60L 2210/40 20130101;  B60L 2230/22 20130101;  B60L 2230/24 20130101;  B60L 2250/10 20130101;  B60L 2250/16 20130101;  B60L 2260/28 20130101;  H01Q 7/00 20130101;  H03H 7/40 20130101;  B60L 11/1829 20130101;  B60L 11/1833 20130101;  Y02T 10/7088 20130101;  Y02T 10/7005 20130101;  Y02T 10/7241 20130101;  Y02T 90/125 20130101;  Y02T 10/7216 20130101;  Y02T 10/725 20130101;  Y02T 90/163 20130101;  Y02T 90/169 20130101;  Y02T 90/14 20130101;  Y02T 90/128 20130101;  Y02T 90/127 20130101;  Y02T 90/122 20130101;  Y04S 10/126 20130101;  Y04S 30/14 20130101;  Y02E 60/721 20130101;  B60L 2200/26 20130101;  Y02T 90/121 20130101</t>
  </si>
  <si>
    <t>Described herein are compact resonator structures for wireless energy transfer that may be used in vehicle applications. The compact resonator structures comprise multiple parallel conductors to reduce the height of the structure. In some embodiments the compact resonator structures use angled routing of the conductor to reduce the effects of a minimum bend radius on the thickness of the structure.</t>
  </si>
  <si>
    <t>US20120309421</t>
  </si>
  <si>
    <t>LOCATION-DETERMINING SYSTEM AND METHOD</t>
  </si>
  <si>
    <t>13/577264</t>
  </si>
  <si>
    <t>Tomtom</t>
  </si>
  <si>
    <t>TOMTOM</t>
  </si>
  <si>
    <t>Nabbefeld; Jan; (Berlin, DE)</t>
  </si>
  <si>
    <t>G01C 21/36 20130101;  H04W 64/00 20130101;  G01C 21/3667 20130101;  G01C 21/32 20130101;  G01S 19/52 20130101;  G01S 19/42 20130101;  G01S 5/0009 20130101;  G01S 5/0252 20130101</t>
  </si>
  <si>
    <t>A method of determining the location of a mobile device (101) comprising     receiving at least one mobile communication operating parameter from the     mobile device (101), referring to a database (110) of stored navigation     device-derived mobile communication operating parameter data and     associated location data, wherein the navigation device-derived mobile     communication operating parameter data comprises TA zone data or BTS     data, and determining the location of the mobile device from the     determined mobile communication operating parameter and the data from the     database (110).</t>
  </si>
  <si>
    <t>US20120256585</t>
  </si>
  <si>
    <t>SYSTEM AND METHOD FOR INDUCTIVE CHARGING OF PORTABLE DEVICES</t>
  </si>
  <si>
    <t>13/442698</t>
  </si>
  <si>
    <t>Partovi; Afshin; (Sunnyvale, CA); Sears; Michael; (Redwood City, CA)</t>
  </si>
  <si>
    <t>H01F 5/003 20130101;  H04W 4/80 20180201;  H02J 7/0004 20130101;  H02J 7/0027 20130101;  H02J 7/025 20130101;  H02J 7/0044 20130101;  H02J 7/0052 20130101;  H02J 50/10 20160201;  H02J 7/045 20130101;  H02J 7/0042 20130101;  H01F 27/362 20130101;  H01F 27/2804 20130101;  H02J 50/90 20160201;  H02J 50/40 20160201;  H02J 50/12 20160201;  H02J 50/70 20160201;  H02J 50/80 20160201;  H01F 38/14 20130101</t>
  </si>
  <si>
    <t>A system and method for variable power transfer in an inductive charging or power system. In accordance with an embodiment the system comprises a pad or similar base unit that contains a primary, which creates an alternating magnetic field. A receiver comprises a means for receiving energy from the alternating magnetic field and transferring it to a mobile device, battery, or other device. In accordance with various embodiments, additional features can be incorporated to provide greater power transfer efficiency, and to allow the system to be easily modified for applications that have different power requirements; such as variations in the material used to manufacture the primary and/or the receiver coils; modified circuit designs to be used on the primary and/or receiver side; and additional circuits and components that perform specialized tasks, such as mobile device or battery identification, and automatic voltage or power-setting for different devices or batteries.</t>
  </si>
  <si>
    <t>US20120151240</t>
  </si>
  <si>
    <t>PORTABLE POWER MANAGER</t>
  </si>
  <si>
    <t>12/815994</t>
  </si>
  <si>
    <t>A portable DC power manager (400) includes an internal power bus (410) and a plurality of device ports (1150, 1160, 1170, 1180, 1190, 1200) for connecting with external power and energy sources, external power loads and other external power managers. Each device port is isolated for the internal power bus by controllable switches (A, B, C, D). Power converters (440, 442, 510) may be disposed between device ports and the internal power bus to convert voltages and attenuate current amplitude. Energy management schema operating on the power manager sums available power and allocates the available power to connected power loads according to power priority settings. A hot-change-over circuit (1300) connects additional sources to the internal bus in response to a voltage drop on the internal power bus. A compact and lightweight package (1100) enables a portability.</t>
  </si>
  <si>
    <t>US20120122522</t>
  </si>
  <si>
    <t>MOBILE TERMINAL DEVICE FOR RECEIVING DUAL BAND SIGNAL USING MULTIPLE     RESONANCE ANTENNA</t>
  </si>
  <si>
    <t>13/291575</t>
  </si>
  <si>
    <t>JANG; Kwang Seok; (Suwon-si, KR); KANG; Dae Chul; (Hwaseong-si, KR); HWANG; Jae Ho; (Yongin-si, KR)</t>
  </si>
  <si>
    <t>H01Q 1/10 20130101;  H01Q 1/46 20130101;  H01Q 11/08 20130101;  H04B 1/0057 20130101;  H01Q 5/314 20150115</t>
  </si>
  <si>
    <t>A mobile terminal device for receiving a dual band signal using a     multiple resonance antenna in a mobile terminal is provided. The mobile     terminal device includes a multiple resonance antenna, a first band     filter connecting with the multiple resonance antenna, for filtering a     first band signal of a low band received through the multiple resonance     antenna, a second band filter connecting with the multiple resonance     antenna, for filtering a second band signal of a high band received     through the multiple resonance antenna, and a signal processor including     a first signal processing unit for converting a frequency of the first     band signal to generate a first baseband signal and a second signal     processing unit for converting a frequency of the second band signal to     generate a second baseband signal, and for activating a corresponding     signal processing unit according to selection of a user.</t>
  </si>
  <si>
    <t>US20120111912</t>
  </si>
  <si>
    <t>Carrying Cases with Amusement Features</t>
  </si>
  <si>
    <t>13/351375</t>
  </si>
  <si>
    <t>PATENT CATEGORY CORP.</t>
  </si>
  <si>
    <t>PATENT CATEGORY</t>
  </si>
  <si>
    <t>Zheng; Yu; (Walnut, CA)</t>
  </si>
  <si>
    <t>A45C 5/14 20130101;  A45C 15/00 20130101;  A45F 3/04 20130101;  A45F 4/02 20130101;  A63H 33/00 20130101;  Y10S 224/93 20130101;  Y10S 224/929 20130101</t>
  </si>
  <si>
    <t>A carrying case has a storage section that has at least one storage     compartment for receiving articles. An amusement feature is provided with     the carrying case. The amusement feature can be an electronic device, or     a non-electronic device. The amusement feature can be provided on an     outer surface of the carrying case, on an inner panel disposed inside the     storage section, on a pouch attached to the storage section, or at any     internal or external location of the carrying case.</t>
  </si>
  <si>
    <t>US20120102320</t>
  </si>
  <si>
    <t>DEPLOYABLE SECURE COMMUNICATION SYSTEM</t>
  </si>
  <si>
    <t>13/341420</t>
  </si>
  <si>
    <t>Anspach; Steve; (Tampa, FL); Lleras; Jose; (Tampa, FL); Salazar; Luke; (Clearwater, FL); Kasson; Greg; (Clearwater, FL)</t>
  </si>
  <si>
    <t>H04L 29/06027 20130101;  H04L 63/0457 20130101;  H04L 65/607 20130101</t>
  </si>
  <si>
    <t>A secure Voice-Over-IP (VOIP), video and data network functionality in a     single, small size deployable case, for a remote user. While capable of     secure communications, the disclosed system also provides communication     capability (VOIP, video and/or data) in a non-secure manner if desired.     Most importantly, bulk encrypted (i.e., secure) data may be routed over a     public network, e.g., the Internet.</t>
  </si>
  <si>
    <t>US20120026995</t>
  </si>
  <si>
    <t>Mobile router with lan internet connectivity</t>
  </si>
  <si>
    <t>13/136552</t>
  </si>
  <si>
    <t>LEAR CORPORATION</t>
  </si>
  <si>
    <t>LEAR</t>
  </si>
  <si>
    <t>Moeller; Douglas S.; (Santa Rosa, CA); Pashby; Ronald W.; (San Francisco, CA)</t>
  </si>
  <si>
    <t>H04L 45/58 20130101;  H04W 40/00 20130101</t>
  </si>
  <si>
    <t>A method is provided for operating a mobile router, comprising a wireless     local area network transceiver and a wireless wide area network     transceiver. The method comprises selectively utilizing the mobile router     to establish a wireless Internet connection for a mobile device via said     local area network transceiver and a wireless local area network access     point when the local area network access point is identified as available     by the mobile router and selectively operating the mobile router to     access the Internet via the wireless wide area network transceiver when     no wireless local area network access point is identified.</t>
  </si>
  <si>
    <t>US20110300805</t>
  </si>
  <si>
    <t>ADAPTIVE CELLULAR POWER CONTROL</t>
  </si>
  <si>
    <t>12/794609</t>
  </si>
  <si>
    <t>Gaikwad; Amit; (Cupertino, CA); Sen; Indranil; (Santa Clara, CA)</t>
  </si>
  <si>
    <t>H04W 52/243 20130101;  H04W 52/244 20130101</t>
  </si>
  <si>
    <t>A method of mitigating interference in a mobile wireless communication     device by adaptively adjusting transmit power levels of a wireless     cellular transceiver. A receive signal quality for a wireless     non-cellular transceiver that includes interference from signals     transmitted by the wireless cellular transceiver is estimated. The     wireless non-cellular and wireless cellular transceivers are co-located     in the mobile wireless communication device, and both transceivers are     active. An actual transmit power of the wireless cellular transceiver is     adjusted based on the estimated receive signal quality to a level less     than a requested transmit power. The estimation of the receive signal     quality and the adjusting of the actual transmit power is periodically     repeated. The estimation accounts for operational properties of the     wireless cellular and non-cellular transceivers as well as operational     characteristics of wireless connections through the transceivers.</t>
  </si>
  <si>
    <t>US20110291900</t>
  </si>
  <si>
    <t>Portable Pop-Up Direction Finding Antenna</t>
  </si>
  <si>
    <t>12/787962</t>
  </si>
  <si>
    <t>SOUTHWEST RESEARCH INSTITUTE</t>
  </si>
  <si>
    <t>SIEMSEN; Patrick J.; (Boerne, TX); KING; Robert R.; (Boerne, TX)</t>
  </si>
  <si>
    <t>H01Q 1/08 20130101;  H01Q 7/00 20130101;  H01Q 21/28 20130101;  H01Q 9/285 20130101;  Y10T 29/49016 20150115</t>
  </si>
  <si>
    <t>An easily transportable multiband antenna array. The antenna array is     fabricated on a multi-sided structure, such as a four-sided cube, made     from a wire frame and fabric. The multi-sided structure is constructed so     that it may be folded by first folding the faces against each other, and     then twisting them to form a stack of loops. The antenna elements are     fabricated on the faces, and comprise at least a loop antenna around the     perimeter of each face, and a bow-tie antenna attached to each face. The     antenna elements are fabricated and attached so that they do not inhibit     the folding of the structure.</t>
  </si>
  <si>
    <t>US20110228701</t>
  </si>
  <si>
    <t>MOBILE BROADBAND COMMUNICATIONS SYSTEM, SUCH AS A DEPLOYABLE     SELF-CONTAINED PORTABLE SYSTEM</t>
  </si>
  <si>
    <t>12/907885</t>
  </si>
  <si>
    <t>Hoffmann; Christopher J.; (Portland, OR); Barber; Jim; (Beaverton, OR); Snell; Rodney; (Portland, OR)</t>
  </si>
  <si>
    <t>Systems and methods for establishing IT services in edge environments are     described. In some examples, the system comprises a transportable housing     capable of being carried by personnel, a plurality of commercial     off-the-shelf components contained in the housing and coupled together     and configured to provide the broadband communications network, a     management subsystem operatively coupled to the plurality of components,     a network connection subsystem defined by at least a first portion of the     plurality of components and configured to establish access to the     broadband communications network, and a connection subsystem defined by     at least a second portion of the plurality of components and that     provides a user with a connection to the broadband communications network     via the network connection subsystem</t>
  </si>
  <si>
    <t>US20110205057</t>
  </si>
  <si>
    <t>PERSONAL SECURITY BACKPACK AND METHOD</t>
  </si>
  <si>
    <t>12/709318</t>
  </si>
  <si>
    <t>INVENTIVE CONCEPTS INTERNATIONAL</t>
  </si>
  <si>
    <t>INVENTIVE CONCEPTS</t>
  </si>
  <si>
    <t>SIZEMORE; Edric D.; (Richton Park, IL)</t>
  </si>
  <si>
    <t>G01S 19/17 20130101;  G08B 15/004 20130101;  H04R 1/083 20130101;  H04R 2201/023 20130101</t>
  </si>
  <si>
    <t>A personal security backpack and method of use include a portable     container having a first compartment and a second compartment, the second     compartment having an audible alarm siren window for transmission of an     audible siren; a strap attached to the portable container; and an alarm     system responsive to at least one activation signal, the alarm system     includes an alarm system circuit removably disposed in the second     compartment; an audible alarm siren operably connected to the alarm     system circuit and responsive to the activation signal to generate the     audible siren; and a microphone operably connected to the alarm system     circuit, the microphone being responsive to the activation signal,     responsive to a user voice, and selectively unresponsive to the audible     siren to generate a voice signal.</t>
  </si>
  <si>
    <t>US20110060853</t>
  </si>
  <si>
    <t>SYSTEM, METHOD, AND DEVICE FOR ROUTING CALLS USING A DISTRIBUTED MOBILE     ARCHITECTURE</t>
  </si>
  <si>
    <t>12/942642</t>
  </si>
  <si>
    <t>Motorola Mobility</t>
  </si>
  <si>
    <t>MOTOROLA</t>
  </si>
  <si>
    <t>Methods and devices for routing communications between distributed mobile     architecture (DMA) servers using DMA gateways are disclosed.     Communications information is received at a first DMA gateway of a DMA     gateway communications network. The communications information is     associated with a communications network that is accessible by a second     DMA gateway of the DMA gateway communications network. The communications     information is stored at a memory of the first DMA gateway. The first DMA     gateway receives a communication that is associated with a destination     device indicated by the communications information to be served by the     second DMA gateway. The communication is routed from the first DMA     gateway to the destination device by relaying the communication from the     first DMA gateway to the second DMA gateway via the DMA gateway     communications network.</t>
  </si>
  <si>
    <t>US20110057042</t>
  </si>
  <si>
    <t>WEARABLE DATA TRANSCEIVER WITH COUPLED ANTENNA</t>
  </si>
  <si>
    <t>12/554446</t>
  </si>
  <si>
    <t>CONSORTIUM P, INC.</t>
  </si>
  <si>
    <t>CONSORTIUM</t>
  </si>
  <si>
    <t>Duggan; Robert J.; (Strafford, NH); Webb; Spencer L.; (Pelham, NH)</t>
  </si>
  <si>
    <t>G06K 19/07749 20130101;  G06K 19/07758 20130101;  G06K 19/07762 20130101;  H01Q 1/2225 20130101;  H01Q 1/273 20130101</t>
  </si>
  <si>
    <t>A flexible antenna capacitively coupled to related circuitry components     for an active wearable data transceiver electronic location and     identification device. Wearable data transceivers (WDXs) are employed as     bracelets, badges, and may be incorporated with back pack straps and     clothing at locations such as collars, cuffs, and hems. They employ     various colors. Active transceiver communication devices are also mounted     on objects for real time location tracking and identification.     Body-mounted WDXs match the body with the antenna for sending and     receiving signals. WDX power includes coplanar battery cells and     circuitry has radio transmitter and radio receiver components.</t>
  </si>
  <si>
    <t>US20110019651</t>
  </si>
  <si>
    <t>Mobile router stack</t>
  </si>
  <si>
    <t>12/803637</t>
  </si>
  <si>
    <t>Fulknier; John C.; (Allston, MA); Smith; Brian J.; (Somerville, MA)</t>
  </si>
  <si>
    <t>H04L 45/00 20130101;  H04L 45/60 20130101</t>
  </si>
  <si>
    <t>A wireless mobile router stack (400) includes a plurality of network     controllers (142) communicating over a local area network. Each network     controller includes a CPU (222), with and one or more local area network     interface devices (146, 148, 333, 360) and one or more cellular network     interface devices (202, 204, 206) in communication with the CPU. At least     one of the local area network interface devices hosts client devices on a     wire (333) or wireless (170, 180) local area network. All of the cellular     network interface devices connect to a host cellular network (110) as a     client when an appropriately configured cellular network access point     (112, 114, 116) is available. At least one of the network controllers     operates to route traffic between locally reachable devices and     non-locally reachable IP address over a plurality of the cellular network     interface devices.</t>
  </si>
  <si>
    <t>US20110007491</t>
  </si>
  <si>
    <t>PORTABLE POWER MANAGER ENCLOSURE</t>
  </si>
  <si>
    <t>12/816325</t>
  </si>
  <si>
    <t>Robinson; Philip T.; (Harvard, MA); Cote; Tyler S.; (Chelmsford, MA); Kazmierczak; James D.; (Marlborough, MA); Holigan; David J.; (Atkinson, NH)</t>
  </si>
  <si>
    <t>Various aspects of the invention provide power manager enclosures. One aspect of the invention provides a power manager enclosure including: a sealed housing comprising opposing substantially rectangular top and bottom faces, opposing substantially rectangular longitudinal front and back faces and opposing substantially rectangular transverse left and right side faces; and a plurality of device ports for operably connecting external power devices to the power manger disposed on one or more of the left and right side faces and on only one of the front and back faces.</t>
  </si>
  <si>
    <t>US20110006603</t>
  </si>
  <si>
    <t>PORTABLE POWER MANAGER OPERATING METHODS</t>
  </si>
  <si>
    <t>12/816080</t>
  </si>
  <si>
    <t>US20100321242</t>
  </si>
  <si>
    <t>DIRECTION FINDING AND GEOLOCATION OF WIRELESS DEVICES</t>
  </si>
  <si>
    <t>12/487511</t>
  </si>
  <si>
    <t>Robinson; Tyler; (Merrimack, NH); Dusaitis; Peter; (Manchester, NH); Kelly; John J.; (Groton, MA); Warner; Joseph; (Burlington, MA)</t>
  </si>
  <si>
    <t>G01S 3/48 20130101;  G01S 5/0252 20130101</t>
  </si>
  <si>
    <t>Techniques are disclosed that allow for the detection, identification, direction finding, and geolocation of wireless emitters in a given multipath environment. For example, the techniques can be used to detect and identify a line of bearing (LOB) to an IEEE 802.11 emitter in a building or in an open field or along a roadside. Multiple LOBs computed from different geographic locations can be used to geolocate the target emitter. The techniques can be embodied, for instance, in a vehicle-based device that can survey the target environment, detect an IEEE 802.11 emitter and identify it by MAC address, and then determine various LOBs to that emitter to geolocate the emitter. In some cases, a sample array of response data from the target emitter is correlated to a plurality of calibrated arrays having known azimuths to determine the LOB to the target emitter.</t>
  </si>
  <si>
    <t>US20100321240</t>
  </si>
  <si>
    <t>DIRECTION FINDING OF WIRELESS DEVICES</t>
  </si>
  <si>
    <t>12/487469</t>
  </si>
  <si>
    <t>Dusaitis; Peter; (Manchester, NH); Robinson; Tyler; (Merrimack, NH); Kelly; John J.; (Groton, MA); Warner; Joseph; (Burlington, MA)</t>
  </si>
  <si>
    <t>G01S 3/785 20130101;  G01S 5/04 20130101</t>
  </si>
  <si>
    <t>Techniques are disclosed that allow for the detection, identification, and direction finding of wireless emitters in a given multipath environment. For example, the techniques can be used to detect and identify a line of bearing (LOB) to an IEEE 802.11 emitter in a building or in an open field or along a roadside. In some cases, multiple LOBs can be used to geolocate the target emitter if so desired. The techniques can be embodied, for instance, in a handheld device that can survey the target environment, detect an IEEE 802.11 emitter and identify it by MAC address, and then precisely determine the LOB to that emitter. In some cases, a sample array of response data from the target emitter is correlated to a plurality of calibrated arrays having known azimuths to determine the LOB to the target emitter.</t>
  </si>
  <si>
    <t>US20100283684</t>
  </si>
  <si>
    <t>GPS, GSM, AND WIRELESS LAN ANTENNA FOR VEHICLE APPLICATIONS</t>
  </si>
  <si>
    <t>12/435750</t>
  </si>
  <si>
    <t>Flex Ltd.</t>
  </si>
  <si>
    <t>FLEXTRONICS</t>
  </si>
  <si>
    <t>Rabinovich; Victor; (Richmond Hill, CA); Matkiwsky; Michael; (Whitby, CA)</t>
  </si>
  <si>
    <t>H01Q 1/3275 20130101;  H01Q 1/38 20130101;  H01Q 5/00 20130101;  H01Q 9/0428 20130101;  H01Q 9/42 20130101;  H01Q 21/28 20130101;  H01Q 5/371 20150115;  H01Q 5/378 20150115</t>
  </si>
  <si>
    <t>A Global Positioning System (GPS), Global System for Mobile     Communications (GSM), wireless local area network (WLAN) antenna,     including a dielectric board including a ground plane; a first antenna     trace line disposed on a first portion of the dielectric board and in     electrical contact with the dielectric board, the first antenna trace     line including at least one first meandered trace for transmitting and     receive a WLAN radio frequency signal; a second antenna trace line     disposed on a second portion of the dielectric board and in electrical     contact with the dielectric board, the second antenna trace line     including at least one second meandered trace for transmitting and     receiving a GSM radio frequency signal; a GPS antenna for receiving radio     frequency signals from at least one global positioning satellite; and a     vehicle mountable housing for enclosing the dielectric board, the first     antenna trace line, the second antenna trace line, and the GPS antenna.</t>
  </si>
  <si>
    <t>US20100260157</t>
  </si>
  <si>
    <t>12/652718</t>
  </si>
  <si>
    <t>US20100219221</t>
  </si>
  <si>
    <t>Carrying cases having amusement features</t>
  </si>
  <si>
    <t>12/799862</t>
  </si>
  <si>
    <t>US20100197222</t>
  </si>
  <si>
    <t>12/697289</t>
  </si>
  <si>
    <t>SCHEUCHER; KARL FREDERICK; (Waite Hill, OH)</t>
  </si>
  <si>
    <t>An In-Building Communications system is disclosed which permits     communication in tunnels, underground parking garages, tall buildings     such as skyscrapers, buildings having thick walls of concrete or metal,     and/or any building which has communication dead zones due to     electromagnetic shielding. The invention includes a portable     bi-directional amplifier (BDA) system, an outdoor antenna system attached     to the building or independently mountable an indoor antenna system     attached to the building or independently mountable inside the building,     and a standardized, In-Building Communications (IBC) interface box     affixed preferably to the exterior of the building. The interface box     communicates with antenna systems attached to the building. The fire     department or other emergency response personnel carry portable outdoor     and indoor antenna systems and a portable, lithium-ion battery powered,     bi-directional amplifier (BDA) system which may be connected to the     building during an event such as a fire, earthquake, or an act of     terrorism or whenever radio coverage enhancement is required. The     portable BDA system is simply connected to the standardized, IBC     interface box and powered thus restoring communications within.</t>
  </si>
  <si>
    <t>US20100159823</t>
  </si>
  <si>
    <t>Explosion Proof Communications Relay and Communications System</t>
  </si>
  <si>
    <t>12/485118</t>
  </si>
  <si>
    <t>RIVADA NETWORKS, INC.</t>
  </si>
  <si>
    <t>RIVADA NETWORKS</t>
  </si>
  <si>
    <t>Smith; Clint; (Warwick, NY)</t>
  </si>
  <si>
    <t>H04B 7/155 20130101</t>
  </si>
  <si>
    <t>A wireless communication system for use in an explosive environment     includes at least a pair of explosion-proof communication relay modules     which relay communication to mobile communication devices in locations     beyond the reach of normal wireless communications with base station     antennas. The explosion-proof communication relay modules include     features to preclude the generation of a spark or heat source which could     ignite any explosive gas or vapor. Similarly, explosion-proof mobile     devices include design features which also preclude the generation of a     spark or heat source.</t>
  </si>
  <si>
    <t>US20100118846</t>
  </si>
  <si>
    <t>MOBILE ROUTER WITH SERIAL DEVICE INTERFACE</t>
  </si>
  <si>
    <t>12/514054</t>
  </si>
  <si>
    <t>Moeller; Douglas S.; (Santa Rosa, CA)</t>
  </si>
  <si>
    <t>H04W 76/18 20180201;  H04W 76/25 20180201;  H04L 12/66 20130101;  H04L 67/2861 20130101;  H04L 67/28 20130101;  H04L 43/50 20130101;  H04L 69/40 20130101;  H04W 84/005 20130101;  H04W 24/08 20130101;  H04W 88/10 20130101;  H04W 84/12 20130101;  H04W 88/16 20130101;  H04W 84/042 20130101;  H04W 76/19 20180201;  H04L 12/2856 20130101</t>
  </si>
  <si>
    <t>A mobile router having a serial interface is disclosed. According to various embodiments, the mobile router may comprise a serial port data publisher module that may take data received from a serial device connected to a serial port of the mobile router and make the data from the serial device available via a TCP stream. In that way, the serial port data publisher module may be used, for example, to populate a remote database with the data from the serial device. That way, the data from the serial device may be remotely accessed via the Internet, for example. In addition, the mobile router can be used to output a received signal from the device connected to its serial interface.</t>
  </si>
  <si>
    <t>US20100067696</t>
  </si>
  <si>
    <t>Standard telephone equipment (STE) based deployable secure communication     system</t>
  </si>
  <si>
    <t>12/591234</t>
  </si>
  <si>
    <t>Anspach; Steve S.; (Tampa, FL)</t>
  </si>
  <si>
    <t>US20100022882</t>
  </si>
  <si>
    <t>RECONFIGURABLE WIRELESS ULTRASOUND DIAGNOSTIC SYSTEM</t>
  </si>
  <si>
    <t>12/299540</t>
  </si>
  <si>
    <t>WORCESTER POLYTECH INSTITUTE</t>
  </si>
  <si>
    <t>Duckworth; Reginald James; (Shrewsbury, MA); Cordeiro; Philip; (Providence, RI); Pedersen; Peder C.; (Sterling, MA)</t>
  </si>
  <si>
    <t>A61B 5/6805 20130101;  A61B 8/00 20130101;  A61B 8/42 20130101;  A61B 8/4281 20130101;  A61B 8/4472 20130101;  A61B 8/462 20130101;  A61B 8/467 20130101;  A61B 8/483 20130101;  A61B 8/546 20130101;  A61B 2017/00203 20130101;  A61B 2560/0209 20130101;  A61B 2560/0431 20130101;  A61B 8/56 20130101;  A61B 8/565 20130101</t>
  </si>
  <si>
    <t>An untethered ultrasound imaging system having selectable command control     and wireless component connection and image transmission. Ultrasound data     collected by the ultrasound system can be augmented with additional     sensor data.</t>
  </si>
  <si>
    <t>US20090323568</t>
  </si>
  <si>
    <t>11/677544</t>
  </si>
  <si>
    <t>US20090313469</t>
  </si>
  <si>
    <t>Deployable secure communication system</t>
  </si>
  <si>
    <t>12/461570</t>
  </si>
  <si>
    <t>Anspach; Steve; (Tampa, FL); Lleras; Jose; (Tampa, FL); Salazar; Luke; (St. Petersburg, FL); Kasson; Greg; (Clearwater, FL)</t>
  </si>
  <si>
    <t>US20090268650</t>
  </si>
  <si>
    <t>Mobile wireless internet service provider system</t>
  </si>
  <si>
    <t>12/150376</t>
  </si>
  <si>
    <t>BRACKEY, CARLING J</t>
  </si>
  <si>
    <t>BRACKEY CARLING</t>
  </si>
  <si>
    <t>Grondzik; James T.; (St. Augustine, FL)</t>
  </si>
  <si>
    <t>H04B 1/03 20130101</t>
  </si>
  <si>
    <t>The system includes a waterproof housing enclosing selected apparatus,     which may include a modem for receiving a signal from an ISP and     providing an output signal, and a wireless router for receiving the     output signal from the modem and providing an output signal, a first     antenna receiving a signal from an ISP and providing the signal to the     modem, and a second antenna receiving the output signal from the wireless     router and transmitting the output signal, and a rechargeable battery     power supply that provides electrical power. Another antenna and another     modem provide another output signal to the wireless router. A standard     FCC wireless receiver mounted in the router provides a wired or wireless     LAN access point. Two more modems and another wireless router may be     provided in the housing, as well as POE input and a solar panel for     battery charging.</t>
  </si>
  <si>
    <t>US20090175254</t>
  </si>
  <si>
    <t>Secure Integrated Mobile Internet Protocol Transit Case</t>
  </si>
  <si>
    <t>12/341480</t>
  </si>
  <si>
    <t>ICI NETWORKS LLC</t>
  </si>
  <si>
    <t>ICI NETWORKS</t>
  </si>
  <si>
    <t>Casto; Brian W.; (Copley, OH); Smith; Tom L.; (Silver Lake, OH); Retterer; John J.; (Marion, OH)</t>
  </si>
  <si>
    <t>H04L 12/4625 20130101</t>
  </si>
  <si>
    <t>A self-contained wireless internet protocol system includes a power     supply converter for receiving input power of any type and converting the     input power to a system power. A wireless local area network (WLAN)     bridge and a wireless wide area network (WWAN) bridge contained within a     case receives the system power. A mobile access router also receives the     system power and facilitates data communications between the WLAN bridge     and the WWAN bridge.</t>
  </si>
  <si>
    <t>US20090097462</t>
  </si>
  <si>
    <t>Deployable Cellular Communication Extension System</t>
  </si>
  <si>
    <t>12/249143</t>
  </si>
  <si>
    <t>DEAN &amp; COMPANY STRATEGY CONSULTANTS, LLC</t>
  </si>
  <si>
    <t>DEANCOMPANY STRATEGY CONSULTANTS</t>
  </si>
  <si>
    <t>Ganley; Declan J.; (Galway, IE); O'Reilly; James; (Galway, IE); Smith; Clint; (Warwich, NY); Mark; Michael; (Colorado Springs, CO)</t>
  </si>
  <si>
    <t>H04B 7/18584 20130101;  H04W 84/04 20130101;  H04W 88/08 20130101</t>
  </si>
  <si>
    <t>Embodiments of systems and methods provide deployable cellular     telecommunication base stations capable of sending, receiving, and     extending telephone calls in areas where commercial cellular     communications are unavailable. The deployable base station can send and     receive cellular telephone calls via cellular communication transceivers,     and relay such calls to a distant teleport via a satellite communication     link. The deployable base station includes routers for encoding voice     calls in voice-over IP data format and for routing calls via the     satellite communication link. The deployable base station may also     include land mobile radio (LMR) communication interoperability circuits     to enable LMR communications to be relayed to a distant teleport. At the     teleport, received communications can be routed via a public switched     telephone network to an intended receiver to enable telephone     communications with the global commercial network from areas lacking     commercial cellular communications.</t>
  </si>
  <si>
    <t>US20090096413</t>
  </si>
  <si>
    <t>12/116876</t>
  </si>
  <si>
    <t>A system and method for variable power transfer in an inductive charging or power system. In accordance with an embodiment the system comprises a pad or similar base unit that contains a primary, which creates an alternating magnetic field. A receiver comprises a means for receiving the energy from the alternating magnetic field from the pad and transferring it to a mobile device, battery, or other device. In accordance with various embodiments, additional features can be incorporated into the system to provide greater power transfer efficiency, and to allow the system to be easily modified for applications that have different power requirements. These include variations in the material used to manufacture the primary and/or the receiver coils; modified circuit designs to be used on the primary and/or receiver side; and additional circuits and components that perform specialized tasks, such as mobile device or battery identification, and automatic voltage or power-setting for different devices or batteries.</t>
  </si>
  <si>
    <t>US20090077375</t>
  </si>
  <si>
    <t>Encapsulation of secure encrypted data in a deployable, secure     communication system allowing benign, secure commercial transport</t>
  </si>
  <si>
    <t>11/898724</t>
  </si>
  <si>
    <t>Anspach; Steve; (Tampa, FL)</t>
  </si>
  <si>
    <t>Sensitive, Type 1 KIV-encrypted data is encapsulated into IP packets in a     remotely deployed, secure communication system. The IP packets are     addressed to a matching IP encapsulator/decapsulator device over the     public Internet or other IP protocol network, that then passes it to a     similar Type 1 KIV device for decryption. Thus, sensitive, encrypted data     is made to appear as if it were any other commercial network data,     cloaking it in the vast and busy world of the Internet. The present     invention is embodied in a system that provides secure Voice-Over-IP     (VoIP), video and data network functionality in a single, small size     deployable case, to a remote user. Most importantly, the embodiment     allows for the routing of bulk encrypted (i.e., secure) data over a     public network, e.g., the Internet.</t>
  </si>
  <si>
    <t>US20090027192</t>
  </si>
  <si>
    <t>PORTABLE ALARM APPARATUS FOR WARNING PERSONS</t>
  </si>
  <si>
    <t>11/828209</t>
  </si>
  <si>
    <t>Flores; Tomas; (Las Vegas, NV)</t>
  </si>
  <si>
    <t>C02F 1/283 20130101;  C02F 1/32 20130101;  C02F 1/441 20130101;  C02F 9/005 20130101;  C02F 2201/008 20130101;  C02F 2209/008 20130101;  G08B 15/004 20130101;  G08B 17/00 20130101;  G08B 19/005 20130101;  G08B 21/12 20130101</t>
  </si>
  <si>
    <t>Portable alarm apparatus for warning a person is provided which includes a manually portable housing or base unit; a constant power supply supported by the base unit, the constant power supply including an external power supply having an interface connectible to a power source external of the base unit, the constant power supply including an onboard power supply independent of the external power supply whose makeup includes at least one of: photovoltaic, piezoelectric and thermoelectric; a detection circuit supported by the base unit, the detection circuit being connected to the constant power supply, the detection circuit being operable to detect a monitored condition, the detection circuit including at least one of: a smoke detector, a carbon monoxide detector and a fire detector; and an alarm circuit supported by the base unit, the alarm circuit being connected to the constant power supply, the alarm circuit being operable in response to detection of the monitored condition by the detection circuit to produce an alarm signal for warning a person.</t>
  </si>
  <si>
    <t>US20080299899</t>
  </si>
  <si>
    <t>RF to IP bridge system and method of use</t>
  </si>
  <si>
    <t>11/806516</t>
  </si>
  <si>
    <t>SAINT FRANCIS UNIVERSITY</t>
  </si>
  <si>
    <t>Wolfe; David M.; (Nicktown, PA)</t>
  </si>
  <si>
    <t>H04B 1/3805 20130101</t>
  </si>
  <si>
    <t>A two component highly portable and lightweight system for extending the     transmission capabilities of Land Mobile Radio systems into areas lacking     coverage due to structures, depth below the earth's surface, or varying     terrain or other dead zones lacking coverage. The system utilizes the     Radio over IP protocol to transfer two-way audio from one radio to     another radio for re-broadcast inside a dead zone over a 900 MHz     Ethernet-based point-to-point wireless link. The novel system includes RF     to TCP/IP conversion and digital data transmission followed by a TCP/IP     conversion to RF radio link and provides components and a method for     bridging RF radio into dead zones.</t>
  </si>
  <si>
    <t>US20080261529</t>
  </si>
  <si>
    <t>Personal area network systems and devices and methods for use thereof</t>
  </si>
  <si>
    <t>11/788566</t>
  </si>
  <si>
    <t>Rosenblatt; Michael; (Campbell, CA)</t>
  </si>
  <si>
    <t>H04W 48/18 20130101;  H04W 84/18 20130101;  H04W 88/04 20130101;  H04W 88/06 20130101;  H04W 92/08 20130101</t>
  </si>
  <si>
    <t>Systems and methods are provided for interfacing wireless communications     between two devices such that a device devoid of a relatively long-range     communications protocol can access that protocol. This may be     accomplished by providing a host device having relatively short-range     communications circuitry integrated therein, which circuitry may be     operative to communicate with relatively short-range communications     circuitry of a multi-protocol or long-range communications device that     also includes relatively long-range communications circuitry.</t>
  </si>
  <si>
    <t>US20080261528</t>
  </si>
  <si>
    <t>11/788562</t>
  </si>
  <si>
    <t>H04W 12/06 20130101;  H04W 48/18 20130101;  H04W 84/18 20130101;  H04W 88/04 20130101;  H04W 88/06 20130101;  H04W 92/08 20130101</t>
  </si>
  <si>
    <t>US20080259829</t>
  </si>
  <si>
    <t>11/788545</t>
  </si>
  <si>
    <t>H04M 1/7253 20130101;  H04W 88/06 20130101</t>
  </si>
  <si>
    <t>US20080194246</t>
  </si>
  <si>
    <t>Apparatus and Method for Providing a Rapidly Deployable Wireless Network</t>
  </si>
  <si>
    <t>11/769791</t>
  </si>
  <si>
    <t>LUCENT TECHNOLOGIES INC.</t>
  </si>
  <si>
    <t>LUCENT</t>
  </si>
  <si>
    <t>Klein; Thierry Etienne; (Fanwood, NJ)</t>
  </si>
  <si>
    <t>H04W 8/082 20130101;  H04W 40/00 20130101;  H04W 76/50 20180201;  H04W 84/18 20130101;  H04L 2212/00 20130101;  H04W 80/04 20130101</t>
  </si>
  <si>
    <t>The invention includes apparatus and method for providing a rapidly     deployable wireless network. An apparatus includes means for providing     radio access network (RAN) functions, means for providing at least one     core (CORE) networking function, and means for providing at least one     service. The RAN functions include at least one air interface, at least     one control function, and at least one network gateway function. The CORE     networking functions include at least one of an AAA function, a DNS     function, a DHCP function, a call/session control function, and the like.     The apparatus may further include means for providing at least one     additional wireless interface, including one or more of a wireless mesh     interface, a wireless backhaul interface, and a wireless management     interface. The apparatus is adapted for being deployed on a mobile     platform. The apparatus may be used to provide a standalone wireless     network independent of existing network infrastructure, or an integrated     wireless network utilizing existing network infrastructure.</t>
  </si>
  <si>
    <t>US20080191950</t>
  </si>
  <si>
    <t>Conformal electronically scanned phased array antenna and communication     system for helmets and other platforms</t>
  </si>
  <si>
    <t>11/705213</t>
  </si>
  <si>
    <t>Raytheon Technologies</t>
  </si>
  <si>
    <t>RAYTHEON</t>
  </si>
  <si>
    <t>Chang; Ike Y.; (Santa Monica, CA); Nichols; Richard W.; (Manhattan Beach, CA); Quan; Clifton; (Arcadia, CA); Gordon; Jonathan D.; (Hermosa Beach, CA); Newberg; Irwin L.; (Pacific Palisades, CA)</t>
  </si>
  <si>
    <t>H01Q 1/276 20130101;  H01Q 3/34 20130101;  H01Q 13/106 20130101;  H01Q 13/18 20130101;  H01Q 21/0075 20130101;  H01Q 21/064 20130101</t>
  </si>
  <si>
    <t>A phased array antenna adapted to be mounted in a helmet. In the     illustrative embodiment, the antenna comprises a substrate and an array     of radiating elements disposed on said substrate, each of the elements     including a-resonant cavity and a mechanism for feeding the cavity with     an electromagnetic signal., The cavity is formed in a multi-layer     structure between a ground plane and a layer of metallization. A     radiating slot or slots are provided in the layer of metallization. A     first layer of dielectric material is disposed within the cavity. The     feed mechanism is a microstrip feed disposed in the first layer of     dielectric material parallel to a plane of a portion of the substrate     over which an associated element is disposed. A layer of foam is disposed     between the layer of dielectric material and the ground plane. Second and     third parallel layers of dielectric material are included in each     element. The second layer is disposed adjacent to the ground plane. A     layer of element interconnection circuitry is disposed between the second     and third layers of dielectric material. A transmit/receive module or     circuitry for each element is secured to the third layer of dielectric     material. The substrate may be conformal or conformable, as well as     rigid. An arrangement is included for steering a beam transmitted or     received by the antenna.</t>
  </si>
  <si>
    <t>US20080117112</t>
  </si>
  <si>
    <t>Quick Deployed Antenna System</t>
  </si>
  <si>
    <t>11/876072</t>
  </si>
  <si>
    <t>Inbal; Noam; (Shoham, IL); Farjoun; Nimrod; (Karkur, IL)</t>
  </si>
  <si>
    <t>H01Q 1/1207 20130101;  H01Q 1/1235 20130101;  H01Q 1/273 20130101;  H01Q 19/10 20130101</t>
  </si>
  <si>
    <t>A satellite system is packed into and transported via a backpack whereby     the backpack integrally accommodates and supports the satellite antenna     system as a single unit. The satellite antenna system expands or     telescopes from the backpack as a complete working unit without the     assembly of parts or minimal assembly such as the connection of cables.     The backpack itself becomes the base to support the satellite antenna     system in a stable position.</t>
  </si>
  <si>
    <t>US20080113676</t>
  </si>
  <si>
    <t>Rapidly deployable communications system</t>
  </si>
  <si>
    <t>11/732034</t>
  </si>
  <si>
    <t>INX INC.</t>
  </si>
  <si>
    <t>INX</t>
  </si>
  <si>
    <t>Hutton; Joel; (Lewisville, TX); Seppeler; Matthew; (Lewisville, TX); Hilz; Dan; (Lewisville, TX)</t>
  </si>
  <si>
    <t>H05K 5/06 20130101</t>
  </si>
  <si>
    <t>A communications node for use in forward areas includes a hardened     housing. Within the hardened housing are modules which transform     communication in a first protocol to communication in a second protocol.     Power is supplied to the communication modules by any one of a variety of     power sources available in the forward area. The modules may be exchanged     in the forward area. The modules may be exchanged or replaced in the     housing without the use of tools.</t>
  </si>
  <si>
    <t>US20080030404</t>
  </si>
  <si>
    <t>Antenna transceiver system</t>
  </si>
  <si>
    <t>11/230376</t>
  </si>
  <si>
    <t>Irwin L.; Newberg; (Pacific Palisades, CA); Chang; Ike Y.; (Santa Monica, CA)</t>
  </si>
  <si>
    <t>H01Q 1/276 20130101;  H01Q 1/28 20130101;  H01Q 21/0087 20130101;  H01Q 3/2647 20130101;  H01Q 21/0025 20130101;  H01Q 1/32 20130101</t>
  </si>
  <si>
    <t>Provided is an antenna transceiver system for transmitting and receiving     voice, digital data, radar and IR signals, and for processing received     signals for use by an operator. The system includes an antenna array     having a plurality of radiating elements, each element connected to a     transmit/receive ("T/R") module. Each T/R module includes phase shifters,     as well as a phase conjugation module for transmitting a return signal to     a location along a beam path of an incoming signal. Transmission of the     return signal does not require knowledge of the location of either the     signal source or the antenna transceiver system. The antenna transceiver     system is disposed on a plurality of vertically aligned planes integrated     into a compact unit. The units can be embedded in headgear of a user,     allowing for hands-free operation of the system. Alternatively, the     antenna transceiver system can be integrated into a vehicle,     man-transportable backpack, or other designated platforms.</t>
  </si>
  <si>
    <t>US20080018467</t>
  </si>
  <si>
    <t>RFID Power From Handset Transmissions</t>
  </si>
  <si>
    <t>11/459085</t>
  </si>
  <si>
    <t>Texas Instruments Inc</t>
  </si>
  <si>
    <t>TEXAS INSTRUMENTS</t>
  </si>
  <si>
    <t>ESTEVEZ; Leonardo W.; (Rowlett, TX); LAZAR; Steven C.; (Plano, TX); PANASIK; Carl M.; (Garland, TX)</t>
  </si>
  <si>
    <t>G06K 19/0707 20130101;  G06K 19/0716 20130101;  G06K 19/0723 20130101</t>
  </si>
  <si>
    <t>A radio frequency identification (RFID) tag comprises a transceiver and a     component coupled to the transceiver. The transceiver is adapted to     wirelessly receive power from an RFID reader and/or from a mobile     communication device. The power received from the mobile communication     device is used to power the component, providing an alternative power     source (cellular beacons) that uses no additional handset power.</t>
  </si>
  <si>
    <t>US20070177578</t>
  </si>
  <si>
    <t>Standard telephone equipment (STE) based deployable secure cellular     communication system</t>
  </si>
  <si>
    <t>11/329071</t>
  </si>
  <si>
    <t>Anspach; Steven S.; (Tampa, FL); West; Jeffrey; (Bandon, FL); Heyliger; Brian; (Wesley Chapel, FL); Cart; Richard; (Hudson, FL); Kasson; Greg; (Clearwater, FL); O'Boyle; Timothy P.; (Clearwater, FL)</t>
  </si>
  <si>
    <t>H04L 29/06027 20130101;  H04L 63/04 20130101;  H04L 65/607 20130101</t>
  </si>
  <si>
    <t>A deployable secure cellular communication system comprises an encryption     device, an Internet Protocol (IP) encapsulator to encapsulate an output     of the encryption device within IP packets, and a network interface to     allow transport of the IP packets to a public IP network. The encryption     device may be an STE device, the output of which is encapsulated into IP     packets addressed to a matching IP encapsulator/decapsulator device over     a public IP network, that then passes to a similar STE or other     encryption device for decryption. Secure Voice-Over-IP (VoIP), video and     data network functionality in a single, small size deployable case, to a     remote user. Most importantly, bulk encrypted (i.e., secure) data is     communicated over a public IP network.</t>
  </si>
  <si>
    <t>US20070151881</t>
  </si>
  <si>
    <t>11/710030</t>
  </si>
  <si>
    <t>US20070115942</t>
  </si>
  <si>
    <t>DEPLOYABLE VOICE OVER INTERNET PROTOCOL (VoIP) COMMUNICATION SYSTEM</t>
  </si>
  <si>
    <t>11/468617</t>
  </si>
  <si>
    <t>F4W, INC.</t>
  </si>
  <si>
    <t>F4W</t>
  </si>
  <si>
    <t>Money; James Keith; (Heathrow, FL); DuMas; Phillip James; (DeLand, FL)</t>
  </si>
  <si>
    <t>H04L 12/6418 20130101</t>
  </si>
  <si>
    <t>A deployable Voice over Internet Protocol (VoIP) system for providing     VoIP communication to communication devices via a data network is     provided. Wireless telephonic devices are used for wireless communication     with an extended range antenna coupled with a base station. VoIP     adapters, coupled with the base station, provide telephonic lines upon     obtaining network connectivity. A power supply provides power to the base     station and the VoIP adapters with the base station, VoIP adapters and     power supply being fixedly housed in a portable case.</t>
  </si>
  <si>
    <t>US20070110017</t>
  </si>
  <si>
    <t>Mobile router device</t>
  </si>
  <si>
    <t>11/650634</t>
  </si>
  <si>
    <t>WAAV, INC.</t>
  </si>
  <si>
    <t>WAAV</t>
  </si>
  <si>
    <t>A wireless mobile router (300) includes a CPU (222) and one or more     network interfaces for hosting locally reachable devices. The router     (300) includes one or more cellular network interface devices (316)     configured to make a network connection with a cellular network. The     router (300) operates to translate data packets received from locally     reachable devices and to direct the translated data packets to public IP     address over the cellular network. In addition, a stack of mobile routers     (400) includes two or more mobile routers (300) interfaced together to     make two or more network connections with a cellular network for     increasing bandwidth and for load balancing network traffic passing from     the router (300) to the cellular network. The wireless mobile router     (300) and the stack (400) are suitable for use in a moving vehicle.</t>
  </si>
  <si>
    <t>US20070109984</t>
  </si>
  <si>
    <t>Mobile broadband communications system, such as a deployable     self-contained portable system</t>
  </si>
  <si>
    <t>11/544224</t>
  </si>
  <si>
    <t>US20070083921</t>
  </si>
  <si>
    <t>Configurable portable containers</t>
  </si>
  <si>
    <t>11/248030</t>
  </si>
  <si>
    <t>Parris; Earl H.; (Summerville, GA); Kay; John Michael; (Rome, GA)</t>
  </si>
  <si>
    <t>A45C 5/14 20130101;  A45C 13/02 20130101;  A45C 15/00 20130101;  A45C 2013/028 20130101;  A45F 3/08 20130101;  G06F 1/181 20130101</t>
  </si>
  <si>
    <t>The present invention is an apparatus and method for associating     electronic devices to portable containers. A smart container is a     container used for transporting items while traveling and comprising     electronic devices. The smart container may comprise at least one module     bay configured for receiving a module and a controller comprising a     processing device associated with a memory. The controller is     electrically associated with the module bay and configured for sending     and/or receiving data to/from an electronic device associated with the     module bay. The controller may be either an integral component of the     smart container or a controller module removably received by the smart     container. The smart container further comprises a power source     associated with a power bus. The power bus is electrically associated     with at least one of (a) a module bay, and (b) the controller.</t>
  </si>
  <si>
    <t>US20070082651</t>
  </si>
  <si>
    <t>Multi-site personal emergency telephone system method and device</t>
  </si>
  <si>
    <t>11/344759</t>
  </si>
  <si>
    <t>VERIDEX, LLC</t>
  </si>
  <si>
    <t>VERIDEX</t>
  </si>
  <si>
    <t>Loizeaux; Marion Alice; (Greenwich, CT)</t>
  </si>
  <si>
    <t>H04M 1/72541 20130101;  H04M 11/04 20130101</t>
  </si>
  <si>
    <t>A method and continually wearable device for one-button emergency     calling, direct to the local emergency responder, from anywhere worldwide     where the user is within cordless phone range of their extensive,     personally-tailored network of secure, pre-authorizing landline base     units. In the U.S., the local emergency responder instantly receives the     users' callback number and instant street address with on-site directions     through Enhanced 911. The wearable device provides 2-way audio     communication with the local emergency responder in either speakerphone,     phone or monitor-only modes. The method of adding an emergency calling     authorization to a users' network is for the user to place their call pod     on the base unit to grant authorization, the base owner then enters his     password and the call pod owners name and presses the `authorize` button.     An adjustable strap holds the device to the users' body, or the device     may be incorporated into other items which are worn or carried.</t>
  </si>
  <si>
    <t>US20060055623</t>
  </si>
  <si>
    <t>Portable telescoping line-of-sight array antenna</t>
  </si>
  <si>
    <t>10/941141</t>
  </si>
  <si>
    <t>FLORENIO PINILI REGALA, AN INDIVIDUAL</t>
  </si>
  <si>
    <t>FLORENIO PINILI REGALA</t>
  </si>
  <si>
    <t>Regala; Florenio Pinili; (Costa Mesa, CA)</t>
  </si>
  <si>
    <t>H01Q 1/10 20130101;  H01Q 21/20 20130101</t>
  </si>
  <si>
    <t>An antenna (100) includes an array of telescoping elements (402a-d)     connected to and by a conductive disk (404) that feeds a signal to the     elements (402a-d) from a matching circuit (506) within a body section     (412). Each element (402a-d) has a joint (602, 604) making it     individually angularly bendable. The body section (412) is attached to a     swivel assembly (414) for adjusting the angle of the array (402a-d). A     coaxial cable runs from the matching circuit (506), through the swivel     assembly (412) and to a connector (502) within a connector assembly (422)     for attachment to a radio.</t>
  </si>
  <si>
    <t>US20050226200</t>
  </si>
  <si>
    <t>A Power Line Communication System that Enables Low-Cost Last Mile Access to any Legacy or Emerging Network Infrastructure</t>
  </si>
  <si>
    <t>10/907187</t>
  </si>
  <si>
    <t>EDGECOM</t>
  </si>
  <si>
    <t>Askildsen, Bernt Askild; (Rapid City, SD); Thompson, Scott Randall; (Rapid City, SD)</t>
  </si>
  <si>
    <t>H04B 3/54 20130101;  H04B 3/56 20130101;  H04B 2203/5445 20130101;  H04B 2203/5483 20130101;  H04L 12/2801 20130101</t>
  </si>
  <si>
    <t>An economically attractive method to provide multiuse broadband connectivity to the edge of legacy telecommunication and emerging networks is disclosed. The invention utilizes a multi-phase common signal return coupling scheme that passes signals onto the step-down side of power transformers. This invention enables the transformer to serve as an economically attractive distribution point that transfers external payload signals from service providers to customer network access points on the load side of the transformer. The resulting power line network will permit remote control of utilization and access to any legacy or emerging network payload such as ITU and IETF that is present at any type of electric power transformer.</t>
  </si>
  <si>
    <t>US20050137942</t>
  </si>
  <si>
    <t>Rapid depolyment portable interactive kiosk</t>
  </si>
  <si>
    <t>10/943212</t>
  </si>
  <si>
    <t>LaFleur, Bernard B.; (Polaski, VA)</t>
  </si>
  <si>
    <t>G06Q 30/0601 20130101;  G07G 1/0018 20130101</t>
  </si>
  <si>
    <t>A portable information kiosk. The kiosk has a self contained power supply     for a computer, a display, a digital camera, a cellular, satellite     capable telephone, an antenna, a printer and a flat bed scanner, all     electrically connected to each other and capable of being stored in a     small carrying case. A method of deploying the kiosk does not require any     attaching of parts together and can be done quickly. The kiosk is ideal     for in the field communications and data acquisition, such as in     disasters, emergencies, or any in the field environmental monitoring.</t>
  </si>
  <si>
    <t>US20050060543</t>
  </si>
  <si>
    <t>Encryption of voice and data in a single data stream in a deployable,     secure communication system</t>
  </si>
  <si>
    <t>10/716564</t>
  </si>
  <si>
    <t>Anspach, Steve; (Tampa, FL)</t>
  </si>
  <si>
    <t>H04K 1/00 20130101;  H04L 63/0428 20130101;  H04L 63/30 20130101</t>
  </si>
  <si>
    <t>Separate IP data streams, including both voice (VoIP) and data sources,     are routed over a single network data stream, encrypted by a single KIV     encryption unit, and transmitted as a single packet data stream including     both computer and voice data. Integration of the use of a VoIP data     stream, together with data sources, and encrypted through a single serial     encryption unit such as a KIV-7 enables the encryption of both voice and     data using a single KIV encryption unit. After encryption by the Type 1     encryption unit (e.g., KIV-7) in a remotely deployed, secure     communication system, the single encrypted data stream is encapsulated     into IP packets. The IP packets are addressed to a distant IP device that     removes the encapsulated, encrypted data and passes it to a similar Type     1 KIV device for decryption, and distributed to voice devices and     computer devices via another voice-enabled router.</t>
  </si>
  <si>
    <t>US20050060539</t>
  </si>
  <si>
    <t>10/699834</t>
  </si>
  <si>
    <t>H04L 63/0428 20130101</t>
  </si>
  <si>
    <t>US20050058122</t>
  </si>
  <si>
    <t>10/739289</t>
  </si>
  <si>
    <t>Anspach, Steve S.; (Tampa, FL)</t>
  </si>
  <si>
    <t>Sensitive, Standard Telephone Equipment (STE) data is encapsulated into IP     packets in a remotely deployed, secure communication system. The IP     packets are addressed to a matching IP encapsulator/decapsulator device     over the public Internet or other IP protocol network, that then passes     it to a similar STE device over an ISDN link for decryption. The present     invention is embodied in a system that provides secure Voice-Over-IP     (VOIP), video and data network functionality in a single, small size     deployable case, to a remote user. Most importantly, the embodiment     allows for the routing of bulk encrypted (i.e., secure) data over a     public network, e.g., the Internet.</t>
  </si>
  <si>
    <t>US20050044358</t>
  </si>
  <si>
    <t>10/643868</t>
  </si>
  <si>
    <t>Anspach, Steve; (Tampa, FL); Lleras, Jose; (Tampa, FL); Salazar, Luke; (St. Petersburg, FL); Kasson, Greg; (Clearwater, FL)</t>
  </si>
  <si>
    <t>US20050000843</t>
  </si>
  <si>
    <t>10/910080</t>
  </si>
  <si>
    <t>Zheng, Yu; (Walnut, CA)</t>
  </si>
  <si>
    <t>US20040110043</t>
  </si>
  <si>
    <t>Handpowered generating system combining capacitors and rechargeable     batteries that can be applied to military and emergency equipment to     provide a portable power supply</t>
  </si>
  <si>
    <t>10/270385</t>
  </si>
  <si>
    <t>Balazs, Alexander Charles; (Grapevine, TX)</t>
  </si>
  <si>
    <t>H01M 16/00 20130101</t>
  </si>
  <si>
    <t>The new technical initiative of this invention is the combination of high     power capacitors, rechargeable batteries, and a hand-powered generator     that is portable. The addition of capacitors allows for a higher output     of power, and a greater number of charges and discharges than all current     rechargeable batteries. Additionally, it is a new combination in that     capacitors do not demonstrate the same memory or limited life as     rechargeable batteries. The combination is new in that current systems do     not employ hand generator rechargeable capacitors to provide high power     level in support of a rechargeable battery. The size of the power unit     that uses this application will allow for greater application of     portable, rechargeable power where standard power sources are     unavailable.</t>
  </si>
  <si>
    <t>US20040092228</t>
  </si>
  <si>
    <t>Apparatus and method for enabling use of low power satellites, such as     C-band, to broadcast to mobile and non-directional receivers, and signal     design therefor</t>
  </si>
  <si>
    <t>10/699639</t>
  </si>
  <si>
    <t>Force, Charles T.; (Tracy's Landing, MD); Horan, Stephen J.; (Las Cruces, NM); Herold, Fred W.; (Kensington, MD)</t>
  </si>
  <si>
    <t>H04B 7/18523 20130101;  Y02D 70/168 20180101;  Y02D 70/446 20180101;  Y02D 70/164 20180101</t>
  </si>
  <si>
    <t>In a low power satellite broadcasting system, recovery of weak received     signals is facilitated by combining a highly efficient compression     technique such as Advance Audio Coding (AAC) used in MPEG-4 with     relatively low rate coding and error correction techniques such as     Recursive Systematic Convolutional Turbo Coding with Forward Error     Correction (FEC). These techniques are further combined with signal     spreading techniques such as Direct Sequence Spread Spectrum Code     Division Multiple Access (DSSS CDMA) or Coded Orthogonal Frequency     Division Multiplex (COFDM) to spread the signal over a large frequency     range for uplink, there permitting multiple users to share the same     spectrum while avoiding interference with others, and also mitigating     frequency selective fading and multipath. Recovery of the relatively weak     signals may be further facilitated by the use of low noise amplifiers and     conformal retrodirective phased array antennas, and by broadcasting the     same information over two time-delayed channels or from two satellites,     adding further redundancy in order to eliminate dropouts.</t>
  </si>
  <si>
    <t>US20040023635</t>
  </si>
  <si>
    <t>Rapidly deployable emergency communications system and method</t>
  </si>
  <si>
    <t>10/446495</t>
  </si>
  <si>
    <t>Lockheed Martin</t>
  </si>
  <si>
    <t>LOCKHEED</t>
  </si>
  <si>
    <t>Impson, Jeremy D.; (Vestal, NY); Mehravari, Nader; (Ithaca, NY); Moody, John O.; (Vestal, NY); Steinbrecher, Eric R.; (Binghamton, NY)</t>
  </si>
  <si>
    <t>H04L 12/66 20130101</t>
  </si>
  <si>
    <t>A system and method for rapid deployment of economically feasible     wide-area general-purpose telecommunications systems and services in     urban, suburban, rural, and other inhabited geographical areas is     disclosed. The solution described here is of particular importance in the     aftermath of such events as catastrophic accidents, natural disasters,     terrorist attacks, riots, and acts of war during which the local     telecommunications infrastructure is destroyed. In addition, the basic     methods and architectures defined herein are applicable to those     scenarios in which wide-area telecommunication services must be deployed     rapidly in previously uninhabited area such as military deployments.</t>
  </si>
  <si>
    <t>US20020100777</t>
  </si>
  <si>
    <t>09/773113</t>
  </si>
  <si>
    <t>US20020058538</t>
  </si>
  <si>
    <t>Wireless communications backpack for a portable computing device</t>
  </si>
  <si>
    <t>10/008172</t>
  </si>
  <si>
    <t>TOUCHSTAR AMERICAS, INC.</t>
  </si>
  <si>
    <t>TOUCHSTAR AMERICAS</t>
  </si>
  <si>
    <t>Gudgel, Jud M.; (Tulsa, OK); Bond, Stuart K.; (Tulsa, OK); Aldham, Brian S.; (Tulsa, OK); Gaut, Michael; (Broken Arrow, OK)</t>
  </si>
  <si>
    <t>H04M 1/0262 20130101;  H04M 1/21 20130101;  H04M 1/72527 20130101</t>
  </si>
  <si>
    <t>A wireless communications backpack comprising a housing, a portable     computing device, a battery and a wireless communication device. The     subject invention provides digital wireless communications over a     cellular network and simultaneously provides electrical power for     operation of both the computing device and the communications device.</t>
  </si>
  <si>
    <t>US20020032017</t>
  </si>
  <si>
    <t>Automatic radio wave output limiting system for portable telephone set</t>
  </si>
  <si>
    <t>09/971189</t>
  </si>
  <si>
    <t>Ezuriko, Hiroshi; (Tokyo, JP)</t>
  </si>
  <si>
    <t>Y02D 70/00 20180101;  H04W 48/02 20130101</t>
  </si>
  <si>
    <t>To provide a portable telephone system in which use of the set is     automatically limited in a site where the use of the set is limited and     in which causes of non-response and other various information can be     transmitted to an originating party who called the use-limited portable     telephone set. The system includes a portable telephone output limiting     management device issuing a radio wave signal of the output limiting     command information from an antenna. On reception of the output limiting     command information from the antenna, the portable telephone set enters     into the output limiting mode to halt direct exchange with the base     station and sends out the information on the fact that the set has     entered into the output limiting mode and the information including the     portable telephone set management number, telephone number reply message     and a notification information flag to the portable telephone output     limiting management device, which then takes the place of the portable     telephone set to reply to the call-out from the base station until the     time the portable telephone set receiving the output limiting command     exits the site.</t>
  </si>
  <si>
    <t>US20020022470</t>
  </si>
  <si>
    <t>09/971190</t>
  </si>
  <si>
    <t>US20020022469</t>
  </si>
  <si>
    <t>09/970996</t>
  </si>
  <si>
    <t>US20020019226</t>
  </si>
  <si>
    <t>09/970904</t>
  </si>
  <si>
    <t>US20020019222</t>
  </si>
  <si>
    <t>09/970905</t>
  </si>
  <si>
    <t>Issued</t>
  </si>
  <si>
    <t>US9998900</t>
  </si>
  <si>
    <t>Backpack-type mobile base station system and method based on TVWS and satellite backhaul</t>
  </si>
  <si>
    <t>Ho Sang Yoo</t>
  </si>
  <si>
    <t>H04W 4/90 (20180201); H04B 7/1851 (20130101); H04B 7/0404 (20130101); H04B 7/15592 (20130101)</t>
  </si>
  <si>
    <t>US9993057</t>
  </si>
  <si>
    <t>Intelligent schoolbag</t>
  </si>
  <si>
    <t>Huicong Chen</t>
  </si>
  <si>
    <t>A45C 13/02 (20130101); A41D 3/04 (20130101); A45C 5/14 (20130101); A45C 13/262 (20130101); A45F 3/04 (20130101); A45F 4/12 (20130101); A45C 13/103 (20130101); A41D 2400/422 (20130101)</t>
  </si>
  <si>
    <t>An intelligent schoolbag, comprising a schoolbag body, wherein storage spaces are formed in the schoolbag body, and book selection means are arranged in the storage spaces; wheels and a driving device for driving the wheels to walk are arranged on the schoolbag body, the driving device is connected with pedals for the user to tread on, and the driving device is an electric monowheel of which the walking speed is controlled by an gravity sensing gyroscope. The intelligent schoolbag of the invention can keep books therein in order despite of bumping, thus articles in the schoolbag are neat. The schoolbag realizes easy access to books and can really reduce the burden to carry the schoolbag on the way to schools, and can better meet the needs of students.</t>
  </si>
  <si>
    <t>US9980171</t>
  </si>
  <si>
    <t>Apparatus for cooperating with a mobile device</t>
  </si>
  <si>
    <t>Zeev Stein, Ran Rahav, Meir Schreiber, Baruch Altman</t>
  </si>
  <si>
    <t>H04W 4/80 (20180201); H04W 28/021 (20130101); G06F 1/1632 (20130101); G06F 1/1637 (20130101); H04L 63/18 (20130101); H04L 65/80 (20130101); H04W 12/02 (20130101); H04W 12/06 (20130101); H04W 72/0453 (20130101); H04W 88/06 (20130101); H04M 1/72527 (20130101); H04M 2250/52 (20130101); H04M 1/72522 (20130101)</t>
  </si>
  <si>
    <t>US9966765</t>
  </si>
  <si>
    <t>Multi-mode transmitter</t>
  </si>
  <si>
    <t>14/585506</t>
  </si>
  <si>
    <t>Michael A. Leabman, Gregory Scott Brewer</t>
  </si>
  <si>
    <t>H02J 5/005 (20130101); H04W 84/12 (20130101)</t>
  </si>
  <si>
    <t>An apparatus for wireless power transmission is provided. The apparatus comprises a transmitter comprising a first antenna element and a second antenna element. The transmitter is configured to emit a first signal by the first antenna element and a second signal by the second antenna element. The first signal comprises a plurality of wireless power waves establishing a pocket of energy. The second signal is different from the first signal. The second signal provides Wi-Fi access.</t>
  </si>
  <si>
    <t>US9955763</t>
  </si>
  <si>
    <t>Secure portable encasement system</t>
  </si>
  <si>
    <t>15/429404</t>
  </si>
  <si>
    <t>Hugh David Geoffrey McLean, Andrew J. Redman, David A. Connell, Robert J. Phillips, Niall English</t>
  </si>
  <si>
    <t>A45C 13/20 (20130101); A45F 3/04 (20130101); A47B 81/00 (20130101); E05B 37/02 (20130101); E05B 65/0075 (20130101); E05B 65/52 (20130101); E05B 73/0011 (20130101); G07C 9/00071 (20130101); G07C 9/00111 (20130101); G07C 9/00182 (20130101); G07C 9/00563 (20130101); E05B 73/00 (20130101); G07C 2009/00769 (20130101); A47B 2220/0091 (20130101)</t>
  </si>
  <si>
    <t>A system for providing securement of a plurality of secure portable encasements including one or more encasements each configured to engage, and subsequently disengage, inseparable interaction with a common docking unit; and one or more common docking units.</t>
  </si>
  <si>
    <t>US9948135</t>
  </si>
  <si>
    <t>Systems and methods for identifying sensitive objects in a wireless charging transmission field</t>
  </si>
  <si>
    <t>Michael A. Leabman, Hans Mellberg</t>
  </si>
  <si>
    <t>H02J 7/042 (20130101); H02J 5/005 (20130101); H02J 7/025 (20130101); H04B 5/0037 (20130101); H02J 50/20 (20160201); H02J 50/60 (20160201); H02J 50/00 (20160201)</t>
  </si>
  <si>
    <t>US9929772</t>
  </si>
  <si>
    <t>Low power, high resolution automated meter reading and analytics</t>
  </si>
  <si>
    <t>Matthew W. Rose, Frank Burns, Matthew Maher Peterson, Canyon Daniel Peckham, Valentin Siderskiy, David Royce Humphrey, Thomas Remmers</t>
  </si>
  <si>
    <t>H04B 1/44 (20130101); H04B 1/0475 (20130101); H04B 1/1036 (20130101); H05K 999/99 (20130101); G01D 4/004 (20130101); H04W 52/028 (20130101); H04B 1/40 (20130101); H02J 7/007 (20130101); H02J 7/0014 (20130101); H04W 52/0277 (20130101); H03F 3/24 (20130101); H04B 2001/0408 (20130101); H04W 88/02 (20130101); H04W 84/18 (20130101); H04W 88/16 (20130101); H02J 7/345 (20130101); H04W 88/06 (20130101); Y02B 90/242 (20130101); Y02B 90/246 (20130101); Y04S 20/322 (20130101); Y04S 20/42 (20130101)</t>
  </si>
  <si>
    <t>US9905933</t>
  </si>
  <si>
    <t>In-building-communication apparatus and method</t>
  </si>
  <si>
    <t>Karl F. Scheucher</t>
  </si>
  <si>
    <t>H01Q 19/30 (20130101); H01Q 9/30 (20130101)</t>
  </si>
  <si>
    <t>US9866333</t>
  </si>
  <si>
    <t>Through-the-earth emergency radio system</t>
  </si>
  <si>
    <t>Michael James Roper, Peter Kwasniok, Vladimir Puzakov</t>
  </si>
  <si>
    <t>H04W 4/90 (20180201); H04B 13/02 (20130101); H04L 27/2602 (20130101); H01Q 7/00 (20130101); H04B 1/38 (20130101); H01Q 1/2291 (20130101); H04B 1/40 (20130101); H04L 27/26 (20130101); H04L 25/4902 (20130101); H04B 1/034 (20130101); H04B 1/3827 (20130101); H01Q 1/273 (20130101)</t>
  </si>
  <si>
    <t>US9801081</t>
  </si>
  <si>
    <t>Adaptive communication for mobile router systems</t>
  </si>
  <si>
    <t>Stephanie Gil, Swarun Suresh Kumar, Dina Katabi, Daniela Rus</t>
  </si>
  <si>
    <t>H04W 24/02 (20130101); H04W 64/003 (20130101); G01S 3/46 (20130101); G01S 13/90 (20130101); H04W 24/08 (20130101)</t>
  </si>
  <si>
    <t>US9793721</t>
  </si>
  <si>
    <t>Distributed charging of mobile devices</t>
  </si>
  <si>
    <t>Afshin Partovi, Michael Sears</t>
  </si>
  <si>
    <t>H01F 5/003 (20130101); H01F 38/14 (20130101); H02J 7/025 (20130101); H02J 7/00 (20130101); H02J 50/12 (20160201); H02J 50/40 (20160201); H02J 50/80 (20160201); H02J 50/70 (20160201); H02J 50/90 (20160201); H02J 50/10 (20160201)</t>
  </si>
  <si>
    <t>US9769674</t>
  </si>
  <si>
    <t>Mobile cellular networks</t>
  </si>
  <si>
    <t>15/263155</t>
  </si>
  <si>
    <t>Joseph L. Uelk, Chris Hill</t>
  </si>
  <si>
    <t>H04W 24/00 (20130101); H04L 41/22 (20130101); H04L 43/16 (20130101); H04L 41/06 (20130101); H04L 41/12 (20130101); H04W 16/18 (20130101); H04L 41/069 (20130101); H04W 24/08 (20130101); H04L 41/042 (20130101); H04L 41/044 (20130101); H04W 16/32 (20130101); H04W 88/18 (20130101); H04W 84/005 (20130101); H04W 24/04 (20130101)</t>
  </si>
  <si>
    <t>US9763196</t>
  </si>
  <si>
    <t>Mobile hotspot UFI device and start-up method</t>
  </si>
  <si>
    <t>Jiajun Liu, Jihong Wang</t>
  </si>
  <si>
    <t>H04W 52/0296 (20130101); H02J 7/0052 (20130101); H04W 88/08 (20130101); Y02D 70/00 (20180101); H02J 2007/0095 (20130101)</t>
  </si>
  <si>
    <t>US9752935</t>
  </si>
  <si>
    <t>Portable analytical equipment</t>
  </si>
  <si>
    <t>Brian James Marquardt, John Scott Van Vuren</t>
  </si>
  <si>
    <t>G01J 3/44 (20130101); G01J 3/0272 (20130101); G01N 21/65 (20130101); G01J 3/0218 (20130101); G01J 3/027 (20130101); G01J 3/0264 (20130101); G08B 5/36 (20130101); G01N 2201/0221 (20130101)</t>
  </si>
  <si>
    <t>US9742729</t>
  </si>
  <si>
    <t>Mobile cellular network backhaul</t>
  </si>
  <si>
    <t>14/970282</t>
  </si>
  <si>
    <t>Vincent Graffagnino, Dennis Niermann</t>
  </si>
  <si>
    <t>H04W 28/0289 (20130101); H04W 8/06 (20130101); H04W 84/005 (20130101); H04L 45/74 (20130101); H04L 61/2592 (20130101); H04W 92/24 (20130101); H04W 92/16 (20130101)</t>
  </si>
  <si>
    <t>A mobile cellular network (MCN) communication system can provide an     independent mobile cellular network to devices within a covered area. In     addition, the MCN communication system can communicate with other MCN     communication systems using a wireless standard that is similar to the     wireless standard used to communicate with user equipment within the     covered area. In some instances, the MCN communication system can be     registered as a user equipment of another MCN communication system and/or     have another MCN communication system registered with it as a user     equipment.</t>
  </si>
  <si>
    <t>US9716401</t>
  </si>
  <si>
    <t>Recharegable battery pack</t>
  </si>
  <si>
    <t>James J. Wojcik</t>
  </si>
  <si>
    <t>H01M 10/46 (20130101); H01M 2/1094 (20130101); H01M 10/425 (20130101); H04Q 11/00 (20130101); H02J 50/80 (20160201); H02J 50/12 (20160201); H02J 50/90 (20160201); H02J 7/025 (20130101); H02J 7/0042 (20130101); H02J 2007/0049 (20130101); H02J 2007/005 (20130101); H02J 7/0047 (20130101)</t>
  </si>
  <si>
    <t>US9711868</t>
  </si>
  <si>
    <t>Karl Frederick Scheucher</t>
  </si>
  <si>
    <t>US9711859</t>
  </si>
  <si>
    <t>Soldier-mounted antenna</t>
  </si>
  <si>
    <t>13/762836</t>
  </si>
  <si>
    <t>Allen R. Muesse, Steven R. Mills, John E. Fenick, Fernando J. Navarro, David F. Macy</t>
  </si>
  <si>
    <t>H01Q 1/273 (20130101); H01Q 1/1235 (20130101); H01Q 11/086 (20130101); H01Q 1/362 (20130101)</t>
  </si>
  <si>
    <t>US9680208</t>
  </si>
  <si>
    <t>Data communications case having an internal antenna array</t>
  </si>
  <si>
    <t>15/379219</t>
  </si>
  <si>
    <t>Dawson Lee Williams</t>
  </si>
  <si>
    <t>H05K 5/0239 (20130101); H05K 7/186 (20130101); H05K 7/12 (20130101); H01Q 1/1207 (20130101); H01Q 1/243 (20130101); H01Q 1/2291 (20130101); H04B 1/38 (20130101); H01Q 21/28 (20130101); H05K 5/0247 (20130101); H05K 5/0221 (20130101); H05K 5/023 (20130101)</t>
  </si>
  <si>
    <t>A data communications apparatus including a case having a base and a lid     connectable to the base, the lid movable with respect to the base between     an open position and a closed position. The case has an inner surface. A     power supply is secured inside the case. A router device is secured     inside the case, the router device selectively receiving power from the     power supply. A plurality of mounting brackets can be adhered to the     inner surface of the case. An antenna array is in electrical     communication with the router device, the antenna array including at     least two cellular antennas, at least two wireless networking antennas,     and at least one global positioning system antenna, each antenna of the     antenna array secured inside the case to a corresponding mounting     bracket.</t>
  </si>
  <si>
    <t>US9668193</t>
  </si>
  <si>
    <t>13/927033</t>
  </si>
  <si>
    <t>Fulknier; John
Smith; Brian J.</t>
  </si>
  <si>
    <t>FULKNIER; JOHN SMITH; BRIAN</t>
  </si>
  <si>
    <t>John Fulknier, Brian J. Smith</t>
  </si>
  <si>
    <t>H04L 45/00 (20130101); H04L 45/60 (20130101); H04W 40/00 (20130101); H04W 28/08 (20130101); H04W 76/15 (20180201); H04W 48/18 (20130101); H04W 24/08 (20130101); H04W 88/10 (20130101); H04W 84/12 (20130101); H04W 88/16 (20130101); H04W 4/80 (20180201); H04W 84/18 (20130101)</t>
  </si>
  <si>
    <t>A wireless mobile router (140) includes wireless network interfaces (202) and (218) attached to a network controller (142). The wireless network interface (202) communicates with a cellular network (110) to access cellular network services. The wireless network interface (218) and the network controller (142) comprise a WLAN (170) or PAN (180) and a network router hosting a plurality of client devices. Each client device may access a wide area network, WAN over the cellular network. The wireless mobile router (140) is configured to exchange various cellular network signals with various WLAN and PAN networks. The wireless mobile router (140) is particularly suitable for use in a vehicle or at locations where WAN access is not readily available.</t>
  </si>
  <si>
    <t>US9634491</t>
  </si>
  <si>
    <t>Power managers and methods for operating power managers</t>
  </si>
  <si>
    <t>Philip T. Robinson, Seth M. Dziengeleski, James D. Kazmierczak, David J. Holigan</t>
  </si>
  <si>
    <t>G06F 1/263 (20130101); H02J 5/00 (20130101); H02J 7/0021 (20130101); H02J 7/0027 (20130101); H02J 7/02 (20130101); H02J 4/00 (20130101); H02M 5/04 (20130101); H02M 3/04 (20130101); H02J 7/0068 (20130101); H02J 1/00 (20130101); G06F 1/3287 (20130101); G06F 1/266 (20130101); H02M 7/04 (20130101); H02J 7/0004 (20130101); Y10T 307/313 (20150401); Y10T 307/406 (20150401); Y10T 307/76 (20150401); Y10T 307/258 (20150401); Y10T 307/461 (20150401); H02J 2007/0001 (20130101); G06F 13/4022 (20130101); Y02D 10/14 (20180101); Y02D 10/151 (20180101)</t>
  </si>
  <si>
    <t>A power manager including a power bus operable at a DC bus voltage. A plurality of device ports operably connect to the power bus. A first data processing device and a first memory device are associated with the first data processing device. A data communication channel extends between the first data processing device and each of the plurality of device ports. An energy management schema operates on the first data processing device. For each of the plurality of device ports, the energy management schema establishes a communication link with an external power device connected to the device port over the data communication channel and determines if an external power device is connected to the device port and if so, determines an external power device type.</t>
  </si>
  <si>
    <t>US9583953</t>
  </si>
  <si>
    <t>Wireless power transfer for portable enclosures</t>
  </si>
  <si>
    <t>13/765564</t>
  </si>
  <si>
    <t>Miles A. Kirby, William H. Von Novak, Michael J. Mangan</t>
  </si>
  <si>
    <t>H02J 7/025 (20130101); H02J 7/0042 (20130101); H02J 50/12 (20160201); H02J 50/50 (20160201); H02J 50/40 (20160201)</t>
  </si>
  <si>
    <t>Exemplary embodiments are directed to portable wireless charging. A     portable charging system may comprise at least one antenna positioned     within a portable enclosure. The at least one antenna may be configured     to receive power from a power source and wirelessly transmit power to a     receive antenna coupled to a chargeable device positioned within a     near-field of the at least one antenna.</t>
  </si>
  <si>
    <t>US9577746</t>
  </si>
  <si>
    <t>Methods for ingress remediation in cable communication systems</t>
  </si>
  <si>
    <t>14/803199</t>
  </si>
  <si>
    <t>Steven E. Nielsen, Ronald Totten, Travis Halky</t>
  </si>
  <si>
    <t>H04B 3/50 (20130101); H04B 10/0773 (20130101); H04J 3/00 (20130101); H04J 3/1694 (20130101); H04W 52/225 (20130101); H04L 43/0823 (20130101); H04B 10/2575 (20130101); H04N 21/6168 (20130101); H04B 10/1143 (20130101); H04Q 11/0067 (20130101); H04B 10/25751 (20130101); H04N 17/00 (20130101); H04L 43/08 (20130101); H04N 17/004 (20130101); H04N 21/6175 (20130101); H04B 3/02 (20130101); H04B 10/03 (20130101); H04B 3/46 (20130101); H04N 21/6118 (20130101)</t>
  </si>
  <si>
    <t>Potential points of neighborhood node ingress in a cable communication     system are identified based on a neighborhood node ingress map. One or     more local test signals are then transmitted at or proximate to the     potential point(s) of ingress. A local test signal amplitude is     received/monitored at or proximate to the potential point(s) of ingress,     wherein the amplitude represents a strength of a received test signal     based on ingress of the transmitted test signal into one or more faults     of the cable communication system. Accordingly, the one or more faults     may be identified based on relatively higher received/monitored test     signal amplitudes pursuant to transmission of the test signal(s) at or     proximate to the potential point(s) of ingress.</t>
  </si>
  <si>
    <t>US9564977</t>
  </si>
  <si>
    <t>Portable through-the-earth radio</t>
  </si>
  <si>
    <t>Michael Roper, Markus Svilans, Peter Kwasniok, Vladimir Puzakov</t>
  </si>
  <si>
    <t>H04B 5/0081 (20130101); H04B 13/02 (20130101)</t>
  </si>
  <si>
    <t>US9532398</t>
  </si>
  <si>
    <t>Portable cellular network system</t>
  </si>
  <si>
    <t>Jack K. Mar, Yichuang Jin</t>
  </si>
  <si>
    <t>H04W 88/08 (20130101); H04W 16/24 (20130101); H04M 1/72525 (20130101); H04M 1/72522 (20130101); H04W 8/245 (20130101)</t>
  </si>
  <si>
    <t>US9515770</t>
  </si>
  <si>
    <t>System, method, and device to control wireless communications</t>
  </si>
  <si>
    <t>14/177119</t>
  </si>
  <si>
    <t>Shaowei Pan, Nicholas Labun</t>
  </si>
  <si>
    <t>H04B 7/1853 (20130101); H04L 63/30 (20130101); H04W 40/02 (20130101); H04K 3/92 (20130101); H04W 48/04 (20130101); H04W 88/08 (20130101)</t>
  </si>
  <si>
    <t>Methods and systems for controlling wireless communications are provided.     A method includes sending, from a mobile base station mimicking system,     signals that mimic a first base station of a wireless communication     system. The method also includes selectively routing, at the mobile base     station mimicking system, communications associated with at least one     communication device, wherein selectively routing the communications     comprises forwarding a first communication associated with the at least     one communication device and blocking a second communication associated     with the at least one communication device.</t>
  </si>
  <si>
    <t>US9491637</t>
  </si>
  <si>
    <t>Portable wireless node auxiliary relay</t>
  </si>
  <si>
    <t>Roderick A. Hyde, Royce A. Levien, Richard T. Lord, Robert W. Lord, Mark A. Malamud, Clarence T. Tegreene</t>
  </si>
  <si>
    <t>H04B 7/1555 (20130101); H04B 7/15507 (20130101); H04W 16/26 (20130101)</t>
  </si>
  <si>
    <t>US9489813</t>
  </si>
  <si>
    <t>System for location in environment and identification tag</t>
  </si>
  <si>
    <t>12/287218</t>
  </si>
  <si>
    <t>Michael L. Beigel</t>
  </si>
  <si>
    <t>G08B 13/2417 (20130101); G01S 5/00 (20130101); G01S 5/12 (20130101); G01S 5/0284 (20130101); G01S 5/0027 (20130101)</t>
  </si>
  <si>
    <t>A system for location of animals and/or objects in an environment     includes a signal processing and signal generation system consisting of     electromagnetic tags on animals (or other objects) in an environment     (typically a three dimension outdoor natural environment) where the     animals or objects are physically present at arbitrary locations, and an     electro-magnetic signal generating, signal receiving, and signal     processing system that can move through or in relation to the     environment. The system can compute the location and identity of the     animals or objects based on signals received from their associated tags,     including the calculated location of the ID tags, which function as     "Reader-Locators." The calculated location is enhanced by information     about the environment provided by maps, satellite photos, GPS, GIS and/or     other data specific to the probability of the location of the animals or     objects within certain regions of the environment. The system includes a     physical and electromagnetic modeling operation that is interactive with     the environmental information derived from the actual environment, either     historically or in "real-time" as the monitoring process occurs.</t>
  </si>
  <si>
    <t>US9479912</t>
  </si>
  <si>
    <t>Transportable telecommunication interconnection device</t>
  </si>
  <si>
    <t>Jean-Philippe Grondin, Martin Gagnon</t>
  </si>
  <si>
    <t>H04W 4/18 (20130101); H04M 3/308 (20130101); H04W 88/14 (20130101)</t>
  </si>
  <si>
    <t>US9451646</t>
  </si>
  <si>
    <t>14/876482</t>
  </si>
  <si>
    <t>Pamela Schemagin, Vincent Graffagnino, Jouko Rytilahti, Ian Gibbs, James McGovern, John Green, Kyle Collins</t>
  </si>
  <si>
    <t>H04W 76/10 (20180201); H04W 84/005 (20130101); H04W 36/32 (20130101); H04W 36/14 (20130101); H04W 8/26 (20130101); H04W 4/023 (20130101); H04W 84/20 (20130101); H04W 84/042 (20130101)</t>
  </si>
  <si>
    <t>US9445280</t>
  </si>
  <si>
    <t>14/869895</t>
  </si>
  <si>
    <t>US9398637</t>
  </si>
  <si>
    <t>Hotspot device</t>
  </si>
  <si>
    <t>Anthony S. Montevirgen, David G. Havskjold</t>
  </si>
  <si>
    <t>H04M 1/0208 (20130101); H04W 88/04 (20130101); H04M 1/0243 (20130101)</t>
  </si>
  <si>
    <t>US9398453</t>
  </si>
  <si>
    <t>Ad hoc service provider's ability to provide service for a wireless     network</t>
  </si>
  <si>
    <t>11/861279</t>
  </si>
  <si>
    <t>Dilip Krishnaswamy, Atul Suri</t>
  </si>
  <si>
    <t>H04L 63/029 (20130101); H04L 63/08 (20130101); H04W 12/06 (20130101); H04W 88/04 (20130101); H04W 84/18 (20130101)</t>
  </si>
  <si>
    <t>An ad hoc service provider for a wireless network, a method for providing     service from a mobile node, and a machine-readable medium are disclosed.     An ad hoc service provider includes a processing system configured to     support first and second wireless access protocols and to alter the ad     hoc service provider's ability to provide service for a wireless network     in response to a resource related event. A method includes sending a     request that a mobile node be allowed to provide service as an ad hoc     service provider, detecting a resource related event of the mobile node     for a wireless network, and altering the mobile node's ability to provide     service for the wireless network. A machine-readable medium includes     instructions for detecting a resource related event of a mobile node, and     altering the mobile node's ability to provide service as an ad hoc     service provider for a wireless network based on the detection.</t>
  </si>
  <si>
    <t>US9338650</t>
  </si>
  <si>
    <t>H04M 1/72527 (20130101); H04W 12/06 (20130101); H04W 4/80 (20180201); G06F 1/1635 (20130101); G06F 1/1637 (20130101); G06F 1/1632 (20130101); H04W 12/08 (20130101); H04M 2250/52 (20130101); G06F 1/163 (20130101)</t>
  </si>
  <si>
    <t>US9332478</t>
  </si>
  <si>
    <t>System, method, and device for routing calls using a distributed mobile     architecture</t>
  </si>
  <si>
    <t>Shaowei Pan</t>
  </si>
  <si>
    <t>H04W 40/00 (20130101); H04W 88/16 (20130101); H04L 65/102 (20130101); H04L 65/1069 (20130101); H04W 92/24 (20130101)</t>
  </si>
  <si>
    <t>A method includes transmitting communications information from a first     DMA gateway of a DMA gateway communication network to a second DMA     gateway of the DMA gateway communication network. The communications     information is associated with a communication network that is accessible     to the first DMA gateway. The method includes receiving a communication     from the second DMA gateway via the DMA gateway communication network.     The communication network and the DMA communication network are     different. The communication is associated with a destination device that     is indicated by the communications information to be served by the     communication network that is accessible to the first DMA gateway. The     method includes routing the communication to the destination device.</t>
  </si>
  <si>
    <t>US9319961</t>
  </si>
  <si>
    <t>Portable wireless communications apparatus</t>
  </si>
  <si>
    <t>Larry Brian Tween, Jonathan Pinto</t>
  </si>
  <si>
    <t>H04W 84/005 (20130101); H04B 1/385 (20130101); H01Q 1/273 (20130101); G06F 1/163 (20130101); H04W 40/00 (20130101); H04W 88/08 (20130101); G06F 1/1698 (20130101); H01Q 9/285 (20130101)</t>
  </si>
  <si>
    <t>A small, portable wireless router combined with a wideband, wearable     antenna supports a local wireless network created on the move for     exchanging information between multiple personnel spread over a useful     geographic area. Multiple information sources of different types, such as     cameras and GPS, can use the network to send information feeds to mobile     users with interface devices such as smartphones that can deliver     multiple feeds at the same time to the user. Devices connected to other     networks, such as information processing devices at fixed operating     bases, can deliver information feeds to the network.</t>
  </si>
  <si>
    <t>US9276437</t>
  </si>
  <si>
    <t>System and method that provides efficiency and flexiblity in inductive charging</t>
  </si>
  <si>
    <t>14/608052</t>
  </si>
  <si>
    <t>H01F 5/003 (20130101); H02J 7/0027 (20130101); H02J 7/025 (20130101); H02J 7/0044 (20130101); H02J 7/0052 (20130101); H02J 50/10 (20160201); H02J 7/045 (20130101); H02J 7/0042 (20130101); H01F 27/362 (20130101); H01F 27/2804 (20130101); H02J 50/90 (20160201); H02J 50/40 (20160201); H02J 50/12 (20160201); H02J 50/70 (20160201); H02J 50/80 (20160201); H01F 38/14 (20130101); H04W 4/80 (20180201); H02J 7/0004 (20130101)</t>
  </si>
  <si>
    <t>A system and method for improved efficiency and flexibility in inductive charging. In accordance with an embodiment, the system comprises a base unit having one or more primary coils, wherein each primary coil is configured so that when a current is passed through it, a magnetic field is generated in a direction substantially perpendicular to the plane of the primary coil; one or more secondary coils or receivers associated with one or more mobile device; and one or more components within the base unit and/or the mobile device, for improving efficiency and/or flexibility in inductive charging. When the one or more mobile device is placed in proximity to the base unit, the perpendicular magnetic field is used to inductively generate a current in the one or more secondary coils or receivers associated therewith, to charge or power the device.</t>
  </si>
  <si>
    <t>US9276306</t>
  </si>
  <si>
    <t>Automatically deployable communications system</t>
  </si>
  <si>
    <t>William R. Clayton, Paul A. Gierow</t>
  </si>
  <si>
    <t>H01Q 1/082 (20130101); H01Q 1/08 (20130101); H01Q 1/081 (20130101); H01Q 1/125 (20130101); H01Q 19/13 (20130101); H01Q 1/14 (20130101); H01Q 3/08 (20130101); H01Q 15/163 (20130101); H01Q 1/1235 (20130101)</t>
  </si>
  <si>
    <t>US9226192</t>
  </si>
  <si>
    <t>14/264297</t>
  </si>
  <si>
    <t>H04W 28/0289 (20130101); H04W 8/06 (20130101); H04W 84/005 (20130101); H04L 61/2592 (20130101); H04L 45/74 (20130101); H04W 92/24 (20130101); H04W 92/16 (20130101)</t>
  </si>
  <si>
    <t>US9198221</t>
  </si>
  <si>
    <t>US9167442</t>
  </si>
  <si>
    <t>US9167426</t>
  </si>
  <si>
    <t>13/270138</t>
  </si>
  <si>
    <t>Exemplary embodiments are directed to devices and methods for supporting     a wireless access point for one or more mobile clients. A mobile device     may include a first module for supporting access to a network via a first     wireless access protocol. The device may further include a second module     for supporting a wireless access point for the one or more mobile clients     to the network using a second wireless access protocol.</t>
  </si>
  <si>
    <t>US8977132</t>
  </si>
  <si>
    <t>Ingress-mitigated RF cable plants and ingress mitigation methods for same</t>
  </si>
  <si>
    <t>US8958416</t>
  </si>
  <si>
    <t>Steven S. Anspach</t>
  </si>
  <si>
    <t>H04L 12/4633 (20130101); H04L 63/0428 (20130101); H04M 7/1245 (20130101); H04L 63/30 (20130101); H04M 7/0078 (20130101); H04L 63/164 (20130101)</t>
  </si>
  <si>
    <t>US8949918</t>
  </si>
  <si>
    <t>Hybrid fiber-coaxial (HFC) cable communication systems having well-aligned     optical and radio-frequency links to facilitate upstream channel plans     having high aggregate data capacity</t>
  </si>
  <si>
    <t>Ronald Totten, Lamar West</t>
  </si>
  <si>
    <t>H04L 12/2885 (20130101); H04N 21/61 (20130101); H04J 14/08 (20130101); H04B 10/2575 (20130101); H04B 10/25751 (20130101)</t>
  </si>
  <si>
    <t>US8948596</t>
  </si>
  <si>
    <t>Steven Nielsen, Ronald Totten, Travis Halky</t>
  </si>
  <si>
    <t>US8910843</t>
  </si>
  <si>
    <t>Self-weighing backpack with weight notification features</t>
  </si>
  <si>
    <t>Bader Abdullah Almalki</t>
  </si>
  <si>
    <t>A45F 3/04 (20130101); G01G 19/58 (20130101); A45C 15/00 (20130101); G01G 19/52 (20130101); G01G 19/44 (20130101)</t>
  </si>
  <si>
    <t>US8902121</t>
  </si>
  <si>
    <t>Portable field antenna</t>
  </si>
  <si>
    <t>13/473926</t>
  </si>
  <si>
    <t>Sean C. Locker</t>
  </si>
  <si>
    <t>H01Q 1/1235 (20130101); H01Q 1/08 (20130101); H01Q 1/1242 (20130101)</t>
  </si>
  <si>
    <t>A portable field antenna platform supports an L-band antenna and     communicating via a cable. The platform includes several tubes, a shock     cord, and an antenna mount. Each tube has a sleeve and a ferrule inserted     therein at a first end of that sleeve. The ferrule of a first tube     detachably inserts into a second end of the sleeve of a second adjacent     tube. The shock cord passes through each tube to connect all the tubes     together by elastic tension. The antenna mount attaches to the antenna     and connects a cable to the terminal. The mount includes an antenna     connector for connecting the cable to the antenna. The tubes either     collapse into a zig-zag bundle in a stow configuration or deploy as a     mast.</t>
  </si>
  <si>
    <t>US8850179</t>
  </si>
  <si>
    <t>Steve Anspach, Salazar Luke, Brian Heyliger, Greg Kasson, Jeff West</t>
  </si>
  <si>
    <t>H04L 63/029 (20130101); H04L 63/0428 (20130101); H04L 63/164 (20130101)</t>
  </si>
  <si>
    <t>US8849189</t>
  </si>
  <si>
    <t>Wireless, self-contained relay device</t>
  </si>
  <si>
    <t>11/832065</t>
  </si>
  <si>
    <t>Aaron Burmeister, Narek Pezeshkian, Hoa G. Nguyen</t>
  </si>
  <si>
    <t>H01Q 9/32 (20130101); H01Q 1/241 (20130101); H01Q 1/08 (20130101); H04B 7/155 (20130101)</t>
  </si>
  <si>
    <t>A relay apparatus comprising a housing having a bottom surface, a radio, and a processor, both mounted within the housing. A self-righting mechanism is mounted to the housing such that the self-righting mechanism is configured to reposition the housing from any initial position to an upright position so that the housing rests on the bottom surface. The radio is configured to relay RF signals and to operate as a node in an ad hoc telecommunications network. The processor is operatively coupled to the radio and the self-righting mechanism.</t>
  </si>
  <si>
    <t>US8811191</t>
  </si>
  <si>
    <t>Iterative mapping methods for ingress mitigation in cable communication     systems</t>
  </si>
  <si>
    <t>US8806559</t>
  </si>
  <si>
    <t>Methods for ingress mitigation in cable communication systems involving     repair, replacement and/or adjustment of infrastructure elements</t>
  </si>
  <si>
    <t>US8775846</t>
  </si>
  <si>
    <t>Portable power manager having one or more device ports for connecting with external power loads</t>
  </si>
  <si>
    <t>US8741131</t>
  </si>
  <si>
    <t>Method for powering portable dialysis machine</t>
  </si>
  <si>
    <t>John A. Bedingfield, Richard E. Kienman, Brian C. Lauman</t>
  </si>
  <si>
    <t>A61M 1/16 (20130101); A61M 1/166 (20140204); A61M 1/284 (20140204); A61M 1/28 (20130101); A61M 1/14 (20130101); A61M 2205/8268 (20130101); A61M 2205/50 (20130101); A61M 2209/088 (20130101); Y10T 307/625 (20150401)</t>
  </si>
  <si>
    <t>US8688111</t>
  </si>
  <si>
    <t>System, method, and device for providing communications using a     distributed mobile architecture</t>
  </si>
  <si>
    <t>13/718054</t>
  </si>
  <si>
    <t>H04W 88/02 (20130101); H04W 8/02 (20130101)</t>
  </si>
  <si>
    <t>A method includes receiving, at a first distributed mobile architecture     (DMA) system, a call from a first mobile subscriber to a second mobile     subscriber and determining whether the second mobile subscriber is     registered with one of the first DMA system and a second DMA system based     on information stored at an authentication, authorization, and accounting     module. The information stored at the AAA module includes a first home     location register storing information associated with mobile subscribers     registered with the first DMA system and a first community location     register storing information associated with a second HLR of the second     DMA system.</t>
  </si>
  <si>
    <t>US8676197</t>
  </si>
  <si>
    <t>11/955017</t>
  </si>
  <si>
    <t>Methods and systems for controlling wireless communications are provided.     A method of controlling wireless communications includes acquiring base     station data at a mobile base station mimicking system. The base station     data is associated with a targeted base station of a wireless     communication system. The method may include mimicking signals of a     neighboring base station of the targeted base station based on the     acquired base station data. Further, the method may include transmitting     a ban signal associated with the targeted base station. The ban signal is     based on the acquired base station data and may induce at least one     communication device to stop communicating with the targeted base     station. In addition, the method includes controlling communications     associated with the at least one communication device via the mobile base     station mimicking system.</t>
  </si>
  <si>
    <t>US8654749</t>
  </si>
  <si>
    <t>Mobile communications system, such as a deployable self-contained portable     system</t>
  </si>
  <si>
    <t>Ampy Buchholz, Jim Barber, Bob Forman, Christopher J. Hoffmann, Robert Frisbee, Charlie Kawasaki, Kevin O'Connor</t>
  </si>
  <si>
    <t>H04W 84/10 (20130101)</t>
  </si>
  <si>
    <t>Systems and methods for establishing IT services in edge environments are     described. In some examples, the system comprises a transportable housing     capable of being carried by personnel, a plurality of commercial     off-the-shelf components contained in the housing and coupled together     and configured to provide the broadband communications network, a     software management system operatively coupled to the plurality of     components, a network connection subsystem defined by at least a first     portion of the plurality of components and configured to establish access     to the broadband communications network, and a connection subsystem     defined by at least a second portion of the plurality of components and     that provides a user with a connection to the broadband communications     network via the network connection subsystem.</t>
  </si>
  <si>
    <t>US8644206</t>
  </si>
  <si>
    <t>Ad hoc service provider configuration for broadcasting service information</t>
  </si>
  <si>
    <t>11/861280</t>
  </si>
  <si>
    <t>An ad hoc service provider includes a processing system configured to     enable access by one or more mobile clients to a first wireless network     via a second wireless network. The processing system is further     configured to assemble service information for broadcasting to one or     more mobile clients. The service information includes attributes of     access to the first wireless network, the access being offered by the ad     hoc service provider to one or more mobile clients.</t>
  </si>
  <si>
    <t>US8638011</t>
  </si>
  <si>
    <t>Portable power manager operating methods</t>
  </si>
  <si>
    <t>US8633619</t>
  </si>
  <si>
    <t>Philip T. Robinson, Seth M. Dziengeleski, James K. Kazmierczak, David J. Holigan</t>
  </si>
  <si>
    <t>US8629654</t>
  </si>
  <si>
    <t>System and method for inductive charging of portable devices</t>
  </si>
  <si>
    <t>US8599016</t>
  </si>
  <si>
    <t>Graphical user interface for emergency apparatus and method for operating     same</t>
  </si>
  <si>
    <t>13/209816</t>
  </si>
  <si>
    <t>SCOTT TECHNOLOGIES, INC.</t>
  </si>
  <si>
    <t>SCOTT</t>
  </si>
  <si>
    <t>Craig Michael Parkulo, Julie Marshall</t>
  </si>
  <si>
    <t>G08B 21/02 (20130101); G01S 13/878 (20130101); G01S 11/06 (20130101)</t>
  </si>
  <si>
    <t>A communications system for emergency services personnel can include     portable devices to be carried by emergency services personnel while at     an emergency site. The portable devices each may have at least a first     transceiver configured to communicate over a first network and the     portable devices are configured to communicate with one another. The     system may also include a portable gateway apparatus. The portable     gateway apparatus may have a portable computer having a graphical user     interface (GUI) and a PCMCIA or smaller card that itself includes at     least a first radio. The first radio is configured to communicate over     the first network to obtain status information from the portable devices     carried by the emergency services personnel. The GUI is configured to     communicate with the PCMCIA card to display a node map indicating     communication links between the portable devices carried by the emergency     services personnel.</t>
  </si>
  <si>
    <t>US8594700</t>
  </si>
  <si>
    <t>Location-determining system and method</t>
  </si>
  <si>
    <t>Jan Nabbefeld</t>
  </si>
  <si>
    <t>G01C 21/32 (20130101); G01S 19/42 (20130101); G01C 21/36 (20130101); G01S 5/0252 (20130101); G01C 21/3667 (20130101); G01S 5/0009 (20130101); G01S 19/52 (20130101); H04W 64/00 (20130101)</t>
  </si>
  <si>
    <t>US8578437</t>
  </si>
  <si>
    <t>US8543003</t>
  </si>
  <si>
    <t>Ingress-mitigated cable communication systems and methods having increased     upstream capacity for supporting voice and/or data services</t>
  </si>
  <si>
    <t>US8483749</t>
  </si>
  <si>
    <t>Mobile terminal device for receiving dual band signal using multiple     resonance antenna</t>
  </si>
  <si>
    <t>Kwang Seok Jang, Dae Chul Kang, Jae Ho Hwang</t>
  </si>
  <si>
    <t>H01Q 1/10 (20130101); H01Q 1/46 (20130101); H01Q 5/314 (20150115); H04B 1/0057 (20130101); H01Q 11/08 (20130101)</t>
  </si>
  <si>
    <t>US8441352</t>
  </si>
  <si>
    <t>Personal security backpack and method</t>
  </si>
  <si>
    <t>Edric D Sizemore</t>
  </si>
  <si>
    <t>G01S 19/17 (20130101); G08B 15/004 (20130101); H04R 2201/023 (20130101); H04R 1/083 (20130101)</t>
  </si>
  <si>
    <t>US8371442</t>
  </si>
  <si>
    <t>Mobile diagnostics module suited for computer data centers</t>
  </si>
  <si>
    <t>12/785920</t>
  </si>
  <si>
    <t>ABR INNOVATIONS</t>
  </si>
  <si>
    <t>Mark A. Pack, Corey Churgin, Jalon Q. Zimmerman</t>
  </si>
  <si>
    <t>G06F 1/1628 (20130101); A45C 5/14 (20130101); A45C 11/00 (20130101); A45F 3/04 (20130101); A45F 3/08 (20130101); Y10T 16/451 (20150115); A45C 2011/003 (20130101); A45C 2013/025 (20130101); A45C 2200/15 (20130101); A45F 2200/0525 (20130101)</t>
  </si>
  <si>
    <t>An exemplary mobile module includes a device frame and/or a case, with     the device frame positioned within, and (preferably immovably) affixed     to, the case walls. An appendage extending from the top of the module may     include a handle and/or an adjustable support mount (which preferably     includes a flat portion and a valley) that allows the module to hang from     a variety of surfaces (such as a cabinet roof/door). Optional (preferably     adjustable) sidebars extending from the module sides provide stability     when the module is hanging. Equipment such as display and input devices     may be (preferably adjustably) affixed to the device frame, and     communication ports (e.g., for serial connectivity) and power sources may     be provided in the frame interior. Such equipment may be accessible     through openings in the case walls that provide access to the case     interior. A (preferably affixed) computer and a multi-function cable may     enhance diagnosing and interfacing capabilities.</t>
  </si>
  <si>
    <t>US8369846</t>
  </si>
  <si>
    <t>Michael Rosenblatt</t>
  </si>
  <si>
    <t>H04W 12/06 (20130101); H04W 48/18 (20130101); H04W 92/08 (20130101); H04W 88/04 (20130101); H04W 88/06 (20130101); H04W 84/18 (20130101)</t>
  </si>
  <si>
    <t>US8364139</t>
  </si>
  <si>
    <t>H04W 88/06 (20130101); H04M 1/7253 (20130101)</t>
  </si>
  <si>
    <t>US8359029</t>
  </si>
  <si>
    <t>12/946012</t>
  </si>
  <si>
    <t>A non-transitory computer readable storage medium of a first distributed     management architecture (DMA) system includes a first home location     register (HLR) that stores information associated with one or more mobile     subscribers that are registered with the first DMA system. The     non-transitory computer readable storage medium includes a community     location register (CLR) associated with a second DMA system. The CLR     stores information associated with a second HLR of the second DMA system,     and the second HLR stores information associated with one or more mobile     subscribers that are registered with the second DMA system. The     non-transitory computer readable storage medium includes instructions     that, when executed by a processor, cause the processor to initiate     connection of a call from a first mobile subscriber to a second mobile     subscriber via the first DMA system and the second DMA system when the     second mobile subscriber is registered with the second DMA system.</t>
  </si>
  <si>
    <t>US8331987</t>
  </si>
  <si>
    <t>H04W 48/18 (20130101); H04W 84/18 (20130101); H04W 92/08 (20130101); H04W 88/06 (20130101); H04W 88/04 (20130101)</t>
  </si>
  <si>
    <t>US8310990</t>
  </si>
  <si>
    <t>US8295273</t>
  </si>
  <si>
    <t>Steve S. Anspach</t>
  </si>
  <si>
    <t>US8270325</t>
  </si>
  <si>
    <t>Christopher J. Hoffmann, Jim Barber, Rodney Snell</t>
  </si>
  <si>
    <t>Systems and methods for establishing IT services in edge environments are     described. In some examples, the system comprises a transportable housing     capable of being carried by personnel, a plurality of commercial     off-the-shelf components contained in the housing and coupled together     and configured to provide the broadband communications network, a     management subsystem operatively coupled to the plurality of components,     a network connection subsystem defined by at least a first portion of the     plurality of components and configured to establish access to the     broadband communications network, and a connection subsystem defined by     at least a second portion of the plurality of components and that     provides a user with a connection to the broadband communications network     via the network connection subsystem.</t>
  </si>
  <si>
    <t>US8253638</t>
  </si>
  <si>
    <t>Portable pop-up direction finding antenna</t>
  </si>
  <si>
    <t>Patrick J. Siemsen, Robert R. King</t>
  </si>
  <si>
    <t>H01Q 1/08 (20130101); H01Q 7/00 (20130101); H01Q 9/285 (20130101); H01Q 21/28 (20130101); Y10T 29/49016 (20150115)</t>
  </si>
  <si>
    <t>US8221324</t>
  </si>
  <si>
    <t>Reconfigurable wireless ultrasound diagnostic system</t>
  </si>
  <si>
    <t>Peder C. Pedersen, Philip Cordeiro, Reginald James Duckworth</t>
  </si>
  <si>
    <t>A61B 5/6805 (20130101); A61B 8/00 (20130101); A61B 8/42 (20130101); A61B 8/462 (20130101); A61B 8/565 (20130101); A61B 8/483 (20130101); A61B 8/546 (20130101); A61B 8/56 (20130101); A61B 8/467 (20130101); A61B 8/4281 (20130101); A61B 8/4472 (20130101); A61B 2017/00203 (20130101); A61B 2560/0209 (20130101); A61B 2560/0431 (20130101)</t>
  </si>
  <si>
    <t>US8209750</t>
  </si>
  <si>
    <t>12/662477</t>
  </si>
  <si>
    <t>Steve Anspach, Luke Salazar, Brian Heyliger, Greg Kasson, Jeff West</t>
  </si>
  <si>
    <t>H04K 1/00 (20130101); H04L 63/0428 (20130101); H04L 63/30 (20130101)</t>
  </si>
  <si>
    <t>US8169185</t>
  </si>
  <si>
    <t>US8126442</t>
  </si>
  <si>
    <t>David M. Wolfe</t>
  </si>
  <si>
    <t>H04B 1/3805 (20130101)</t>
  </si>
  <si>
    <t>US8102793</t>
  </si>
  <si>
    <t>James T. Grondzik</t>
  </si>
  <si>
    <t>H04B 1/03 (20130101)</t>
  </si>
  <si>
    <t>US8098205</t>
  </si>
  <si>
    <t>GPS, GSM, and wireless LAN antenna for vehicle applications</t>
  </si>
  <si>
    <t>Victor Rabinovich, Michael Matkiwsky</t>
  </si>
  <si>
    <t>H01Q 1/3275 (20130101); H01Q 1/38 (20130101); H01Q 5/00 (20130101); H01Q 5/378 (20150115); H01Q 9/42 (20130101); H01Q 21/28 (20130101); H01Q 5/371 (20150115); H01Q 9/0428 (20130101)</t>
  </si>
  <si>
    <t>US8090941</t>
  </si>
  <si>
    <t>Steve Anspach, Jose Lleras, Luke Salazar, Greg Kasson</t>
  </si>
  <si>
    <t>H04L 29/06027 (20130101); H04L 65/607 (20130101); H04L 63/0457 (20130101)</t>
  </si>
  <si>
    <t>US8086280</t>
  </si>
  <si>
    <t>Explosion proof communications relay and communications system</t>
  </si>
  <si>
    <t>Clint Smith</t>
  </si>
  <si>
    <t>H04B 7/155 (20130101)</t>
  </si>
  <si>
    <t>US8072994</t>
  </si>
  <si>
    <t>Mobile router with serial device interface</t>
  </si>
  <si>
    <t>Doug S. Moeller</t>
  </si>
  <si>
    <t>H04W 76/18 (20180201); H04W 76/25 (20180201); H04L 12/66 (20130101); H04L 67/2861 (20130101); H04L 67/28 (20130101); H04L 43/50 (20130101); H04L 69/40 (20130101); H04W 24/08 (20130101); H04W 76/19 (20180201); H04L 12/2856 (20130101); H04W 84/005 (20130101); H04W 88/10 (20130101); H04W 84/12 (20130101); H04W 88/16 (20130101); H04W 84/042 (20130101)</t>
  </si>
  <si>
    <t>US8014733</t>
  </si>
  <si>
    <t>Wearable system for enabling mobile communications</t>
  </si>
  <si>
    <t>11/627623</t>
  </si>
  <si>
    <t>Michael A. Gailloux, Michael W. Kanemoto</t>
  </si>
  <si>
    <t>H04B 1/385 (20130101)</t>
  </si>
  <si>
    <t>A system and associated methods are disclosed for facilitating mobile     communications. In one embodiment, the system increases the utility of     mobile communications devices by integrating communications electronics     into wearable items, so that communications sessions are more easily     conducted in a variety of circumstances. Further, in additional     embodiments, the methods enable movement performance for an individual to     be monitored and reported by an associated mobile communications device,     and for preselected messages to be transmitted to inquiring devices     depending on sensed movement activity.</t>
  </si>
  <si>
    <t>US7978139</t>
  </si>
  <si>
    <t>Direction finding and geolocation of wireless devices</t>
  </si>
  <si>
    <t>Tyler Robinson, Peter Dusaitis, John J. Kelly, Joseph Warner</t>
  </si>
  <si>
    <t>G01S 3/48 (20130101); G01S 5/0252 (20130101)</t>
  </si>
  <si>
    <t>US7978138</t>
  </si>
  <si>
    <t>Direction finding of wireless devices</t>
  </si>
  <si>
    <t>Peter Dusaitis, Tyler Robinson, John J. Kelly, Joseph Warner</t>
  </si>
  <si>
    <t>G01S 5/04 (20130101); G01S 3/785 (20130101)</t>
  </si>
  <si>
    <t>US7944929</t>
  </si>
  <si>
    <t>Secure integrated mobile internet protocol transit case</t>
  </si>
  <si>
    <t>Brian W. Casto, Tom L. Smith, John J. Retterer</t>
  </si>
  <si>
    <t>H04L 12/4625 (20130101)</t>
  </si>
  <si>
    <t>US7864927</t>
  </si>
  <si>
    <t>Marion Alice Loizeaux</t>
  </si>
  <si>
    <t>H04M 11/04 (20130101); H04M 1/72541 (20130101)</t>
  </si>
  <si>
    <t>US7855988</t>
  </si>
  <si>
    <t>12/172639</t>
  </si>
  <si>
    <t>Methods and devices for routing communications between distributed mobile     architecture (DMA) servers using DMA gateways are disclosed.     Communications information is received at a first DMA gateway for a     communications network accessible by a second DMA gateway. The     communications information indicates one or more devices that are     accessible by one of a DMA server and a legacy communications network.     The first DMA gateway and the second DMA gateway participate in a DMA     gateway communications network. The communications information is stored     in a home DMA register of the first DMA gateway. A communication is     received at the first DMA gateway for a target device indicated by the     communications information to be served by the second DMA gateway. The     communication is routed from the first DMA gateway to the target device     by relaying the communication from the first DMA gateway to the second     DMA gateway via the DMA gateway communications network.</t>
  </si>
  <si>
    <t>US7817589</t>
  </si>
  <si>
    <t>Self-contained portable broadband communications system</t>
  </si>
  <si>
    <t>Systems and methods for establishing IT services in edge environments are     described. A system of at least one embodiment comprises a transportable     housing capable of being carried by personnel, a plurality of commercial     off-the-shelf components contained in the housing and coupled together     and configured to provide the broadband communications network, a     management subsystem operatively coupled to the plurality of components,     a network connection subsystem defined by at least a first portion of the     plurality of components and configured to establish access to the     broadband communications network, and a connection subsystem defined by     at least a second portion of the plurality of components and that     provides a user with a connection to the broadband communications network     via the network connection subsystem.</t>
  </si>
  <si>
    <t>US7782191</t>
  </si>
  <si>
    <t>Portable alarm apparatus for warning persons</t>
  </si>
  <si>
    <t>Tomas Flores</t>
  </si>
  <si>
    <t>C02F 9/005 (20130101); G08B 21/12 (20130101); G08B 15/004 (20130101); G08B 17/00 (20130101); G08B 19/005 (20130101); C02F 1/283 (20130101); C02F 1/32 (20130101); C02F 1/441 (20130101); C02F 2209/008 (20130101); C02F 2201/008 (20130101)</t>
  </si>
  <si>
    <t>US7778230</t>
  </si>
  <si>
    <t>John C. Fulknier, Brian J. Smith</t>
  </si>
  <si>
    <t>H04L 45/60 (20130101); H04L 45/00 (20130101)</t>
  </si>
  <si>
    <t>US7720458</t>
  </si>
  <si>
    <t>Jeremy D. Impson, Nader Mehravari, John O. Moody, Eric R. Steinbrecher</t>
  </si>
  <si>
    <t>H04L 12/66 (20130101)</t>
  </si>
  <si>
    <t>US7707407</t>
  </si>
  <si>
    <t>Steve Anspach</t>
  </si>
  <si>
    <t>US7626977</t>
  </si>
  <si>
    <t>US7598916</t>
  </si>
  <si>
    <t>Quick deployed antenna system</t>
  </si>
  <si>
    <t>GILAT SATELLITE NETWORKS LTD.</t>
  </si>
  <si>
    <t>GILAT SATELLITE NETWORKS</t>
  </si>
  <si>
    <t>Noam Inbal, Nimrod Farjoun</t>
  </si>
  <si>
    <t>H01Q 1/1207 (20130101); H01Q 19/10 (20130101); H01Q 1/273 (20130101); H01Q 1/1235 (20130101)</t>
  </si>
  <si>
    <t>US7577835</t>
  </si>
  <si>
    <t>H04L 29/06027 (20130101); H04L 63/0457 (20130101); H04L 65/607 (20130101)</t>
  </si>
  <si>
    <t>US7545322</t>
  </si>
  <si>
    <t>Irwin L. Newberg, Ike Y. Chang</t>
  </si>
  <si>
    <t>H01Q 1/276 (20130101); H01Q 1/28 (20130101); H01Q 21/0087 (20130101); H01Q 3/2647 (20130101); H01Q 21/0025 (20130101); H01Q 1/32 (20130101)</t>
  </si>
  <si>
    <t>Provided is an antenna transceiver system for transmitting and receiving voice, digital data, radar and IR signals, and for processing received signals for use by an operator. The system includes an antenna array having a plurality of radiating elements, each element connected to a transmit/receive ("T/R") module. Each T/R module includes phase shifters, as well as a phase conjugation module for transmitting a return signal to a location along a beam path of an incoming signal. Transmission of the return signal does not require knowledge of the location of either the signal source or the antenna transceiver system. The antenna transceiver system is disposed on a plurality of vertically aligned planes integrated into a compact unit. The units can be embedded in headgear of a user, allowing for hands-free operation of the system. Alternatively, the antenna transceiver system can be integrated into a vehicle, man-transportable backpack, or other designated platforms.</t>
  </si>
  <si>
    <t>US7535861</t>
  </si>
  <si>
    <t>Self-contained portable broadband communication system</t>
  </si>
  <si>
    <t>Systems and methods for establishing IT services in edge environments are     described. The system comprises a transportable housing capable of being     carried by personnel, a plurality of commercial off-the-shelf components     contained in the housing and coupled together and configured to provide     the broadband communications network, a software management system     operatively coupled to the plurality of components, a network connection     subsystem defined by at least a first portion of the plurality of     components and configured to establish access to the broadband     communications network, and a connection subsystem defined by at least a     second portion of the plurality of components and that provides a user     with a connection to the broadband communications network via the network     connection subsystem.</t>
  </si>
  <si>
    <t>US7533259</t>
  </si>
  <si>
    <t>H04L 63/0428 (20130101)</t>
  </si>
  <si>
    <t>US7532163</t>
  </si>
  <si>
    <t>Ike Y. Chang, Richard W. Nichols, Clifton Quan, Jonathan D. Gordon, Irwin L. Newberg</t>
  </si>
  <si>
    <t>H01Q 1/276 (20130101); H01Q 3/34 (20130101); H01Q 13/106 (20130101); H01Q 13/18 (20130101); H01Q 21/0075 (20130101); H01Q 21/064 (20130101)</t>
  </si>
  <si>
    <t>US7468980</t>
  </si>
  <si>
    <t>10/804493</t>
  </si>
  <si>
    <t>Brian W Casto, Tom L Smith, John J Retterer</t>
  </si>
  <si>
    <t>US7317896</t>
  </si>
  <si>
    <t>Mobile wireless router</t>
  </si>
  <si>
    <t>10/649031</t>
  </si>
  <si>
    <t>Schneider Electric</t>
  </si>
  <si>
    <t>SCHNEIDER ELECTRIC</t>
  </si>
  <si>
    <t>Piyush Saxena, Joseph J. Loberti</t>
  </si>
  <si>
    <t>A45C 13/02 (20130101); G06F 1/1628 (20130101); H04W 40/02 (20130101); A45C 3/02 (20130101); Y02D 70/30 (20180101); A45C 2013/025 (20130101)</t>
  </si>
  <si>
    <t>A mobile communication system for wireless communications includes a     power adapter configured to receive input power from a power source and     to adapt the input power to an output power, the output power being     within Universal Serial Bus (USB) standards, a USB cable coupled to the     power adapter to transmit the output power from the power adapter, the     USB cable including at least one USB connector, and a router configured     to be coupled to the USB cable and configured to receive the output power     transmitted by the USB cable to power components of the router such that     the router can operate using the output power transmitted by the USB     cable, the router including at least one antenna and being configured to     communicate wirelessly through the at least one antenna with a     wireless-enabled communication device.</t>
  </si>
  <si>
    <t>US7200358</t>
  </si>
  <si>
    <t>Detachable wireless transceiver for mobile marine communications apparatus</t>
  </si>
  <si>
    <t>11/274439</t>
  </si>
  <si>
    <t>UNIDEN CORPORATION OF AMERICA, 6345 CASTLEWAY COURT, INDIANAPOLIS, INDIANA 46250 A CORP. OF IN</t>
  </si>
  <si>
    <t>UNIDEN AMERICA</t>
  </si>
  <si>
    <t>Kent David  Newman, Arthur Y  Tsubaki</t>
  </si>
  <si>
    <t xml:space="preserve">H04B1/38; H04B1/44; </t>
  </si>
  <si>
    <t>A detachable wireless transceiver module ( 306, 308 ) operable to communicate with a marine radio wireless communication system ( 10 ) on board a waterborne vessel ( 12 ) is disclosed. The module is designed to be secured and operably connected to a handheld marine radio ( 250 ) in order to provide local wireless communications capability thereto. The enhanced handheld marine radio ( 250 ) is operable to communicate directly with one or more fixed mount marine radios ( 18, 38 ) and/or wireless handsets ( 26, 46, 50, 52 ) via local wireless channels.</t>
  </si>
  <si>
    <t>US7102590</t>
  </si>
  <si>
    <t>Florenio Pinili Regala</t>
  </si>
  <si>
    <t>H01Q 1/10 (20130101); H01Q 21/20 (20130101)</t>
  </si>
  <si>
    <t>An antenna (100) includes an array of telescoping elements (402a d)     connected to and by a conductive disk (404) that feeds a signal to the     elements (402a d) from a matching circuit (506) within a body section     (412). Each element (402a d) has a joint (602, 604) making it     individually angularly bendable. The body section (412) is attached to a     swivel assembly (414) for adjusting the angle of the array (402a d). A     coaxial cable runs from the matching circuit (506), through the swivel     assembly (412) and to a connector (502) within a connector assembly (422)     for attachment to a radio.</t>
  </si>
  <si>
    <t>US6769588</t>
  </si>
  <si>
    <t>Yu Zheng</t>
  </si>
  <si>
    <t>A45C 15/00 (20130101); A45F 4/02 (20130101); A45C 5/14 (20130101); A45F 3/04 (20130101); A63H 33/00 (20130101); Y10S 224/93 (20130101); Y10S 224/929 (20130101)</t>
  </si>
  <si>
    <t>A carrying case has a storage section that has at least one storage     compartment for receiving articles. An amusement feature is provided with     the carrying case. The amusement feature can be an electronic device, or a     non-electronic device. The amusement feature can be provided on an outer     surface of the carrying case, on an inner panel disposed inside the     storage section, on a pouch attached to the storage section, or at any     internal or external location of the carrying case.</t>
  </si>
  <si>
    <t>US6735450</t>
  </si>
  <si>
    <t>Method and apparatus for wireless outdoor environment communications networks</t>
  </si>
  <si>
    <t>09/713907</t>
  </si>
  <si>
    <t>Extreme Networks</t>
  </si>
  <si>
    <t>EXTREME NETWORKS</t>
  </si>
  <si>
    <t>H Peter  Remmert</t>
  </si>
  <si>
    <t xml:space="preserve">H04B1/38; H04B1/38; H05K7/20009; H05K7/20009; </t>
  </si>
  <si>
    <t>An access point that is operable under outdoor or industrial environmental conditions may be provided. The access point may include a casing in which an indoor environment access point may be received. The casing may be substantially water-proof and may have rugged characteristics. A conduit that is substantially water proofed may be provided to provide a passageway for conducting electricity to or from the interior of the case. A heat exchanger and circuitry may be provided that regulates the temperature in the case when the indoor access point is operating to maintain the temperature approximately within a range that is suitable for the indoor access point. A back plate, and an antenna may be attached to the case.</t>
  </si>
  <si>
    <t>US6636498</t>
  </si>
  <si>
    <t>Mobile IP mobile router</t>
  </si>
  <si>
    <t>09/227396</t>
  </si>
  <si>
    <t>Cisco Systems</t>
  </si>
  <si>
    <t>CISCO</t>
  </si>
  <si>
    <t>Kent K. Leung</t>
  </si>
  <si>
    <t>H04W 8/04 (20130101); H04W 40/34 (20130101); H04W 60/00 (20130101); H04W 80/04 (20130101); H04W 84/005 (20130101)</t>
  </si>
  <si>
    <t>Methods and apparatus for implementing a Mobile IP mobile router are     provided. In accordance with one aspect, the Home Agent receives a     registration request packet. The registration request packet may include a     care-of address for the mobile router. Networks associated with the mobile     router are then identified. The Home Agent then updates a routing table to     associate the identified networks with the care-of address. In addition,     the Home Agent updates a mobility binding table with the care-of address     for the mobile router. In accordance with another aspect, routing     information is exchanged between the Home Agent and the mobile router. A     routing table associated with at least one of the Home Agent and the     mobile router is then updated as appropriate to include the exchanged     routing information.</t>
  </si>
  <si>
    <t>US6259399</t>
  </si>
  <si>
    <t>GPS receivers and garments containing GPS receivers and methods for using     these GPS receivers</t>
  </si>
  <si>
    <t>09/132573</t>
  </si>
  <si>
    <t>Norman F. Krasner</t>
  </si>
  <si>
    <t>G01S 5/0027 (20130101); G01S 5/0036 (20130101); G01S 19/09 (20130101); G01S 19/235 (20130101); G01S 19/34 (20130101); G01S 19/37 (20130101); H01Q 1/273 (20130101); H01Q 21/28 (20130101); H03J 7/04 (20130101); H03J 7/06 (20130101); H04B 1/0007 (20130101); H04B 1/28 (20130101); H04B 1/3805 (20130101); A61B 5/1112 (20130101); A61B 5/6805 (20130101); G01S 5/0045 (20130101); G01S 19/252 (20130101); G01S 19/254 (20130101); G01S 19/256 (20130101); G01S 19/258 (20130101); G01S 2205/008 (20130101); G06F 2221/2111 (20130101); H03D 7/163 (20130101); H03J 2200/11 (20130101); H04B 1/00 (20130101); H04B 2001/3894 (20130101); A61B 5/7232 (20130101)</t>
  </si>
  <si>
    <t>A GPS receiver having multiple GPS antennas. Also described is a method of     tracking employing the GPS receiver and a communication transmitter. Also     described is a garment having a GPS receiver and a GPS antenna and a     communication antenna and a communication transmitter.</t>
  </si>
  <si>
    <t>US6151354</t>
  </si>
  <si>
    <t>Multi-mode, multi-band, multi-user radio system architecture</t>
  </si>
  <si>
    <t>08/994954</t>
  </si>
  <si>
    <t>TELEDYNE SCIENTIFIC &amp; IMAGING, LLC</t>
  </si>
  <si>
    <t>TELEDYNE SCIENTIFICIMAGING</t>
  </si>
  <si>
    <t>Duane L. Abbey</t>
  </si>
  <si>
    <t>H04B 1/406 (20130101); H04B 7/18506 (20130101); H04B 7/1851 (20130101); H04B 1/00 (20130101)</t>
  </si>
  <si>
    <t>A multi-mode, multi-band, multi-user radio system architecture includes     four channels of exciter circuits and receiver circuits coupled to a     digital signal processing array. Each of the exciter and receiver circuits     includes three separate signal paths for three separate frequency ranges     of analog signals. Each path includes an analog-to-digital converter or a     digital-to-analog converter for converting both modulated analog signals     to modulated digital signals and modulated digital signals to modulated     analog signals. The digital signal processing array performs modulation     and demodulation functions for the radio system.</t>
  </si>
  <si>
    <t>US6052364</t>
  </si>
  <si>
    <t>CDMA system architecture for satcom terminals</t>
  </si>
  <si>
    <t>08/874726</t>
  </si>
  <si>
    <t>COMSAT CORPORATION</t>
  </si>
  <si>
    <t>COMSAT</t>
  </si>
  <si>
    <t>Harvey Chalmers, Ajit Shenoy</t>
  </si>
  <si>
    <t>H04B 7/216 (20130101)</t>
  </si>
  <si>
    <t>A satellite communication system including a portable satellite terminal is     provided which utilizes C/K.sub.u -band and spread spectrum technology to     drastically reduce the antenna and terminal sizes. Both CDMA and time     division multiplexing (TDM) are used to permit efficient all-digital     voice, facsimile and data operations in either full mesh or star modes. A     single Network Controller can handle both Star and Mesh mode traffic on     the same or several transponders. Narrowband CDMA/frequency division     multiple access is used for inbound transmission from the terminal while     outbound transmissions from the hub utilize TDM/FDMA. Furthermore, the     system is scalable in fixed bandwidth increments to support network size     evolution. All signalling for call setup and takedown is done in-band on     the same carrier that is used for the traffic, thereby eliminating the     need for a separate signalling channel and frequency retuning. Only a     small set of distinct PN code sequences, independent of the actual number     of user terminals in the network, are required for the entire network.</t>
  </si>
  <si>
    <t>US6041242</t>
  </si>
  <si>
    <t>Portable emergency response communications system and method</t>
  </si>
  <si>
    <t>08/876257</t>
  </si>
  <si>
    <t>Steve M. Coulthard</t>
  </si>
  <si>
    <t>H04W 88/02 (20130101)</t>
  </si>
  <si>
    <t>An emergency response communications system including a system capable of     being transported and may include a plurality of radio connection ports     with special latching multi-pronged ports, a computer power source outlet,     overload protector, battery condition indicator, master power switch, at     least one portable gel cell DC battery, various power circuits throughout     the system, a resistant case able to withstand a substantial impact load     to protect the gel cell DC battery, a mobile frame, a DC to AC inverter, a     battery charger, a fax machine power outlet, a battery condition     indicator, and possibly, a light mounted to the case and a retractable     antenna mounted to the case. In some embodiments, a variety of features     may be incorporated into the case and may be transported without the     frame.</t>
  </si>
  <si>
    <t>US5398276</t>
  </si>
  <si>
    <t>Cellular-system signal-strength analyzer</t>
  </si>
  <si>
    <t>08/015576</t>
  </si>
  <si>
    <t>AGILENT TECHNOLOGIES, INC.</t>
  </si>
  <si>
    <t>AGILENT</t>
  </si>
  <si>
    <t>Kurt T. Lemke, Joseph A. Schifferdecker</t>
  </si>
  <si>
    <t>H04W 24/00 (20130101); G01S 17/023 (20130101); G01S 17/88 (20130101)</t>
  </si>
  <si>
    <t>A manually-movable, portable, cellular-system signal-strength analyzer for     measuring, recording and displaying geographically-located, downlink,     cellular-communication-channel signal strengths in non-vehicular     pedestrian areas and also inside buildings. The analyzer has a     cellular-telephone scanning receiver housed within a backpack that is worn     by a human operator who traverses the areas to be analyzed. A     height-adjustable antenna mast formed from a set of telescoping tubes is     fixed to the exterior of the backpack. This mast supports a self-resonant     antenna of fixed length whose elevation height may be varied to determine     signal-strengths at different pedestrian heights. The backpack also houses     a controller. A laser rangefinder which has a built-in compass inputs data     to the controller concerning the geographic locations of various points     traversed by the analyzer. An arm-held computer is also connected to the     controller. The computer has a display and a "pen" for manual writing on     the display to input data and instructions to the analyzer. The computer     records and displays the signal strengths of the selected     cellular-communication channels for various geographically located points     throughout the areas traversed.</t>
  </si>
  <si>
    <t>US11140248</t>
  </si>
  <si>
    <t>WI-FI; Voice and Radio; GPS</t>
  </si>
  <si>
    <t>GPS; Voice &amp; Radio; WI-FI</t>
  </si>
  <si>
    <t>Data communications backpack</t>
  </si>
  <si>
    <t>Dawson Lee  Williams</t>
  </si>
  <si>
    <t xml:space="preserve">A45F3/04; H04M1/0249; H04M1/026; H04M1/21; H04M1/21; A45F2003/003; A45F2003/003; H04M2001/0204; </t>
  </si>
  <si>
    <t>US11134493</t>
  </si>
  <si>
    <t>WLAN physical layer design for efficient hybrid ARQ</t>
  </si>
  <si>
    <t>16/583295</t>
  </si>
  <si>
    <t>NXP B.V.</t>
  </si>
  <si>
    <t>NXP</t>
  </si>
  <si>
    <t>Yan  Zhang, Hongyuan  Zhang</t>
  </si>
  <si>
    <t xml:space="preserve">H03M13/1111; H04L1/0008; H04L1/0041; H04L1/0061; H04L1/1816; H04L1/1845; H04L1/189; H04L25/03866; H04W72/0466; H04W84/12; H04W84/12; </t>
  </si>
  <si>
    <t>A method for Wireless Local-Area Network (WLAN) communication in a WLAN device includes generating a WLAN transmission including first bits, by at least (i) encoding the first bits with a Forward Error Correction (FEC) code to produce first encoded bits, and (ii) scrambling the first encoded bits with a first scrambling sequence. The WLAN transmission is transmitted from the WLAN device to a remote WLAN device. In response to receiving from the remote WLAN device an indication that reception of the WLAN transmission has failed, a WLAN retransmission including second bits is generated. Generating the retransmission includes (i) obtaining second encoded bits, which include the second bits encoded with the FEC code, and (ii) scrambling the second encoded bits with a second scrambling sequence that is different from the first scrambling sequence. The WLAN retransmission is transmitted from the WLAN device to the remote WLAN device.</t>
  </si>
  <si>
    <t>US11134425</t>
  </si>
  <si>
    <t>Network backhaul access</t>
  </si>
  <si>
    <t>16/798975</t>
  </si>
  <si>
    <t>Vincent Charles  Graffagnino, John  Green</t>
  </si>
  <si>
    <t xml:space="preserve">H04W24/02; H04W24/08; H04W36/08; H04W76/36; H04W76/36; H04W36/14; H04W36/14; H04W84/18; H04W88/085; H04W88/085; </t>
  </si>
  <si>
    <t>A communication system can provide an independent mobile cellular network to devices within a covered area. In addition, the system can determine whether user equipment within a covered area of the communication system are to have backhaul access to another communication system and/or whether to adjust the point of presence of the user equipment.</t>
  </si>
  <si>
    <t>US11133986</t>
  </si>
  <si>
    <t>Systems and methods for real-time, selective and event-driven data model to feed services and applications for access points including access points related to autonomous and non-autonomous vehicles in a network of moving things</t>
  </si>
  <si>
    <t>16/667114</t>
  </si>
  <si>
    <t>De Azevedo João Luís Mineiro  Ramos</t>
  </si>
  <si>
    <t xml:space="preserve">H04L41/0681; H04L41/0681; H04L41/0816; H04L67/12; H04L67/12; H04L67/34; H04L67/34; H04W4/40; H04W4/40; G08G1/096775; G08G1/096775; H04L41/145; H04L41/145; H04W4/029; H04W4/029; </t>
  </si>
  <si>
    <t>Communication network architectures, systems, and methods for supporting a network of mobile nodes. As a non-limiting example, various aspects of this disclosure provide communication network architectures, systems, and methods for supporting a dynamically configurable communication network comprising a complex array of both static and moving communication nodes (e.g., the Internet of moving things) including a real-time, event-driven data model. The disclosure can relate to access points, including those related to autonomous and non-autonomous vehicles.</t>
  </si>
  <si>
    <t>US11133572</t>
  </si>
  <si>
    <t>Electronic device with segmented housing having molded splits</t>
  </si>
  <si>
    <t>16/205145</t>
  </si>
  <si>
    <t>Yaocheng  Zhang, John J  Baker, Martin J  Auclair, Paul U  Leutheuser, Christopher J  Durning, Jun  Ham</t>
  </si>
  <si>
    <t xml:space="preserve">G06F1/1656; G06F1/1698; G06F1/181; H01Q1/2258; H01Q1/243; H01Q1/243; H01Q1/36; H01Q1/38; H01Q1/44; H01Q1/44; H01Q9/045; H01Q9/30; H01Q13/10; H01Q21/28; H04B1/3888; H04B1/3888; H04M1/0202; H04M1/0266; H04M1/18; H05K5/0247; H04B2001/3894; </t>
  </si>
  <si>
    <t>The disclosure is directed to a multi-segment housing for an electronic device that includes multiple conductive segments that are structurally coupled by one or more non-conductive housing segments or splits. One or more of the conductive segments may be configured to operate as an antenna and the non-conductive housing segments may provide electrical insulation between the conductive segment and one or more adjacent housing segments. The non-conductive housing segment may be formed from a polymer having an array of fibers dispersed within the polymer. The fibers may be aligned along one or more fiber directions, which may be substantially perpendicular to an exterior surface of the housing.</t>
  </si>
  <si>
    <t>US11132164</t>
  </si>
  <si>
    <t>WiFi remote displays</t>
  </si>
  <si>
    <t>15/092343</t>
  </si>
  <si>
    <t>III HOLDINGS 1, LLC</t>
  </si>
  <si>
    <t>III</t>
  </si>
  <si>
    <t>Neal David  Margulis</t>
  </si>
  <si>
    <t xml:space="preserve">G06F1/266; G06F1/266; G06F1/3203; G06F1/3203; G06F1/325; G06F1/325; G06F3/1431; G06F3/1431; G06F3/1438; G06F3/1438; G06F3/1446; G06F3/1446; G06F3/1454; G06T11/60; G06T15/005; G06T19/20; H04L5/0037; H04L65/60; H04N21/4122; H04N21/4122; H04N21/4126; H04N21/4126; H04N21/42653; H04N21/42653; H04N21/4316; H04N21/4316; H04N21/43637; H04N21/43637; H04N21/440218; H04N21/440218; H04N21/47; H04N21/47; H04W84/18; H04L65/4069; H04L65/608; H04W84/12; </t>
  </si>
  <si>
    <t>A wireless peripheral mode is provided by a host system that communicates to a WiFi infrastructure and, utilizing the same WiFi RF subsystem, also communicates to peripherals. The host system may employ additional RF channels for communicating with high bandwidth peripherals, such as display devices, where high levels of QoS may be managed locally. The host system may be a conventional desktop computer system, a notebook computer system, a multi-media access point, a cell phone, a game machine, a portable game machine, a Personal Digital Assistant (PDA), a smart phone or any other type of device that benefits from accessing both a WiFi infrastructure and local peripherals.</t>
  </si>
  <si>
    <t>US11129031</t>
  </si>
  <si>
    <t>Systems and methods for improving coverage and throughput of mobile access points in a network of moving things, for example including a network of autonomous vehicles</t>
  </si>
  <si>
    <t>15/352378</t>
  </si>
  <si>
    <t>Filipe  Neves, Diogo  Carreira, Andre  Cardote</t>
  </si>
  <si>
    <t xml:space="preserve">H01Q1/32; H01Q1/3208; H01Q1/325; H01Q1/52; H04L67/12; H04L67/12; H04W4/46; H04W16/28; H04W16/28; H01Q21/00; H04W84/18; H04W84/18; </t>
  </si>
  <si>
    <t>Systems and methods for enhancing node operation in a network of moving things. As non-limiting examples, various aspects of this disclosure provide systems and methods for adapting mobile access point coverage, for example adapting a mobile access point of a vehicle (e.g., an autonomous vehicle, a manually locally controlled vehicle, a remotely controlled vehicle, etc.).</t>
  </si>
  <si>
    <t>US11128692</t>
  </si>
  <si>
    <t>Transferring content between a ground based content server and an aircraft based content server via content fragments distributed across courier electronic devices</t>
  </si>
  <si>
    <t>16/876335</t>
  </si>
  <si>
    <t>THALES</t>
  </si>
  <si>
    <t>Jean-yves  Couleaud, Tracy  Decuir</t>
  </si>
  <si>
    <t xml:space="preserve">H04L67/06; H04L67/06; H04L67/10; H04L67/10; H04L67/1097; H04L67/1097; H04L67/32; H04L67/32; </t>
  </si>
  <si>
    <t>A ground based content server transfers content to an aircraft based content server via courier devices that are transported by aircraft passengers. Content files to be delivered to a target aircraft are identified. Courier devices associated with persons scheduled to become passengers on the target aircraft are identified. Each of the content files are divided into content fragments, where the content fragments collectively contain all data necessary for reassembling the content files. The content fragments are distributed from the ground based content server across the courier devices, so that each courier device is distributed one of the content fragments containing data that is at least partially redundant with data contained in one of the content fragments that is distributed to at least one other one of the courier devices and that is not redundant to data contained in other content fragments distributed to still other ones of the courier devices.</t>
  </si>
  <si>
    <t>US11126904</t>
  </si>
  <si>
    <t>Dynamic ad-hoc challenge-coin device networking with secure proximity-based pseudo-random connectivity, methods of treatment using same</t>
  </si>
  <si>
    <t>16/670609</t>
  </si>
  <si>
    <t>LITO, CORP.</t>
  </si>
  <si>
    <t>LITO</t>
  </si>
  <si>
    <t>Lito  Villanueva, William D  Davis</t>
  </si>
  <si>
    <t xml:space="preserve">G06K19/047; G06K19/047; G06K19/0705; G06K19/0723; G06K19/0723; G06K19/07705; G06K19/07705; G06K19/07715; G06K19/07715; G06K19/07762; G01S19/14; G06K19/0705; G06Q50/265; G08B25/016; </t>
  </si>
  <si>
    <t>An apparatus includes a substantially cylindrical housing, a power source, a processor, a communications interface, and an indicator. During operation, a functionalized coin is detected, by the apparatus, as being within a predefined distance of the apparatus. In response to detecting the presence of the functionalized coin within the predefined distance, the apparatus can cause the indicator to exhibit an indication such as vibration and/or light emission. The indicator can include a vibration motor, or a light-emitting diode (LED). The apparatus is sized to fit within a palm of a hand of a human user. The apparatus can also transmit, via the communications interface, a radio frequency beacon signal, and receive, via the communications interface, a reply to the beacon signal and, in turn, transmit a confirmation of receipt of the reply to the beacon signal, to establish a communications connection between the apparatus and the functionalized coin.</t>
  </si>
  <si>
    <t>US11125854</t>
  </si>
  <si>
    <t>Time transfer and position determination during simultaneous radar and communications operation</t>
  </si>
  <si>
    <t>16/364921</t>
  </si>
  <si>
    <t>Boeing</t>
  </si>
  <si>
    <t>BOEING</t>
  </si>
  <si>
    <t>Gary A  Ray</t>
  </si>
  <si>
    <t xml:space="preserve">G01S7/006; G01S7/006; G01S7/023; G01S7/0232; G01S7/0234; G01S7/40; G01S7/40; G01S13/343; G01S13/345; G01S13/825; G01S13/876; G01S13/878; G01S13/878; G01S13/95; Y02A90/10; </t>
  </si>
  <si>
    <t>A system and a method that enable time transfer and position determination services during operation of a combined radar/communications system. One aspect of the method is broadcasting a signal that any system receiving it can use to synchronize system clocks to the set of master clocks among a selected subset of transmitting platforms. This broadcast signal can occur during both radar and communications operations. In addition, with three or more mobile or fixed platforms broadcasting the signal, any one receiving the signal can also derive position information. The time transfer and position determination service can operate at the same time as operation of both radar and communications functions. The broadcast information is derived from internal time and position information as determined by the individual transmitting platforms. A small set of such platforms are configured to broadcast signals that transfer both accurate time and accurate position to all other platforms within radiofrequency (RF) range.</t>
  </si>
  <si>
    <t>US11122623</t>
  </si>
  <si>
    <t>Controlling AUL transmissions when coexisting with scheduled UEs</t>
  </si>
  <si>
    <t>16/099829</t>
  </si>
  <si>
    <t>Reem  Karaki</t>
  </si>
  <si>
    <t xml:space="preserve">H04W72/042; H04W72/042; H04W72/042; H04W72/1289; H04W74/0816; H04W74/0816; H04W74/0816; H04W16/14; H04W72/0446; </t>
  </si>
  <si>
    <t>Systems and methods are disclosed herein for restricting autonomous uplink transmissions by a wireless device in a wireless communication system such that wireless devices performing autonomous uplink transmissions can coexist with wireless devices performing scheduled uplink transmissions in a cell requiring Listen-Before-Talk (LBT). In some embodiments, a method of operation of a wireless device in a wireless communication system comprises receiving, from a radio access node, an indication of which subframes belong to a same channel occupancy within a cell that requires LBT and restricting performance of autonomous uplink transmissions by the wireless device based on the indication of which subframes belong to the same channel occupancy. By restricting autonomous uplink transmissions in this manner, the wireless device can coexist with scheduled wireless devices in the same cell.</t>
  </si>
  <si>
    <t>US11122389</t>
  </si>
  <si>
    <t>System and method of calibration for establishing real-time location</t>
  </si>
  <si>
    <t>16/713363</t>
  </si>
  <si>
    <t>Eric J  Smith, R Michael  Stitt, Karl  Jager</t>
  </si>
  <si>
    <t xml:space="preserve">H04B17/0082; H04B17/11; H04B17/27; H04B17/318; H04B17/318; H04W4/02; H04W4/023; H04W4/029; H04W4/40; H04W64/003; H04W76/15; H04W4/38; H04W4/80; H04W4/80; H04W84/12; H04W84/12; </t>
  </si>
  <si>
    <t>A system and method for determining location information based on a reference profile for a reference device, and a system and method for determining the reference profile. The system may determine the reference locator with respect to the reference device based on a plurality of samples obtained with respect to communications between the reference device and an object device. An adapter locator may be determined for the reference locator for samples obtained with respect to communications between a test device and object.</t>
  </si>
  <si>
    <t>US11121974</t>
  </si>
  <si>
    <t>Adaptive private network asynchronous distributed shared memory services</t>
  </si>
  <si>
    <t>16/791776</t>
  </si>
  <si>
    <t>TALARI NETWORKS INCORPORATED</t>
  </si>
  <si>
    <t>TALARI NETWORKS</t>
  </si>
  <si>
    <t>Andre N  Fredette, John Edward  Dickey</t>
  </si>
  <si>
    <t xml:space="preserve">G06F15/167; G06F15/167; H04L7/0012; H04L43/062; H04L43/0829; H04L43/0858; H04L43/0864; H04L43/087; H04L43/16; H04L45/121; H04L45/124; H04L45/125; H04L47/122; H04L67/1097; </t>
  </si>
  <si>
    <t>A highly predicable quality shared distributed memory process is achieved using less than predicable public and private internet protocol networks as the means for communications within the processing interconnect. An adaptive private network (APN) service provides the ability for the distributed memory process to communicate data via an APN conduit service, to use high throughput paths by bandwidth allocation to higher quality paths avoiding lower quality paths, to deliver reliability via fast retransmissions on single packet loss detection, to deliver reliability and timely communication through redundancy transmissions via duplicate transmissions on high a best path and on a most independent path from the best path, to lower latency via high resolution clock synchronized path monitoring and high latency path avoidance, to monitor packet loss and provide loss prone path avoidance, and to avoid congestion by use of high resolution clock synchronized enabled congestion monitoring and avoidance.</t>
  </si>
  <si>
    <t>US11115854</t>
  </si>
  <si>
    <t>Adjusting bandwidth utilization of wireless network based on potential     issues being predicted</t>
  </si>
  <si>
    <t>16/228755</t>
  </si>
  <si>
    <t>ARRIS ENTERPRISES, INC.</t>
  </si>
  <si>
    <t>ARRIS</t>
  </si>
  <si>
    <t>Sundar Murthy Tumuluru</t>
  </si>
  <si>
    <t>H04W 28/20 (20130101); H04W 28/0289 (20130101); H04W 28/0236 (20130101); H04W 48/06 (20130101); H04W 24/08 (20130101); H04W 28/22 (20130101); H04W 28/0247 (20130101); H04W 28/10 (20130101)</t>
  </si>
  <si>
    <t>Monitoring activities of wireless devices connected to a wireless network     (e.g., when connected and to what access points, what activities,     bandwidth utilized). Processing monitored activities to develop trends     for wireless devices (e.g., likely time for connecting to which access     points, likely activities performed, likely bandwidth usage, likely     movement patterns). Predicting potential issues with the wireless network     based on current network activities and predicted activities based on the     developed trends. The potential issues may include congestion of an     access point. Taking actions, including modifying activities of one or     more wireless devices, to avoid the potential issues, reduce impact of     the potential issues and/or prevent any performance degradation to high     priority wireless devices. The activity modifications may include, for     example, restricting/changing access point connectivity,     limiting/modifying functions performed, modifying bit rate, changing     frequency band, and delaying/restricting activities. Parameters     associated with wireless devices may be identified, including identifying     high priority wireless devices.</t>
  </si>
  <si>
    <t>US11105888</t>
  </si>
  <si>
    <t>Mobile emergency perimeter system and method</t>
  </si>
  <si>
    <t>16/709731</t>
  </si>
  <si>
    <t>Architecture Technology Corp</t>
  </si>
  <si>
    <t>Architecture Technology</t>
  </si>
  <si>
    <t>Eric Chartier, Paul Davis, Douglas Sweet, Ryan Hagelstrom, Ian McLinden</t>
  </si>
  <si>
    <t>G01S 5/06 (20130101); H04L 67/18 (20130101); H04L 67/12 (20130101); H04W 84/18 (20130101); G01S 5/0018 (20130101); H04W 4/40 (20180201); H04W 4/021 (20130101); G01S 5/021 (20130101)</t>
  </si>
  <si>
    <t>A method for minimizing aircraft collisions, comprising includes     detecting a flight of an unmanned aerial system (UAS) in a restricted     area and determining a location of a radio frequency (RF) emitter in     communication with the UAS. The method includes, at each of a plurality     of RF sensors of a network of wireless RF sensors, receiving RF emissions     within an RF band pertaining to UAS control, processing the received RF     emissions, and transmitting data derived from the processed RF emissions.     The method further includes at a designated one of the plurality of RF     sensors, receiving the transmitted data from the RF sensors, a processor     computing, using the transmitted data received from the RF sensors, a     location estimate for the RF emitter and to predict the UAS is flying,     and based on the prediction, the processor generating an aircraft     collision alert.</t>
  </si>
  <si>
    <t>US11064630</t>
  </si>
  <si>
    <t>System for supplying power to at least one power distribution and data hub     using a portable battery pack</t>
  </si>
  <si>
    <t>Laura Thiel, Giancarlo Urzi, Carlos Cid</t>
  </si>
  <si>
    <t>H01M 50/10 (20210101); H04L 29/04 (20130101); H01M 50/116 (20210101); H01M 50/147 (20210101); H01M 50/20 (20210101); H05K 7/1492 (20130101); H01M 50/24 (20210101); H01M 50/155 (20210101); H01M 50/103 (20210101); H02B 1/26 (20130101)</t>
  </si>
  <si>
    <t>US11039276</t>
  </si>
  <si>
    <t>16/713354</t>
  </si>
  <si>
    <t>Eric J. Smith, R. Michael Stitt, Karl Jager</t>
  </si>
  <si>
    <t>H04B 17/318 (20150115); H04B 17/21 (20150115); H04W 4/026 (20130101); H04W 4/40 (20180201); B60R 25/245 (20130101); B60R 2325/20 (20130101)</t>
  </si>
  <si>
    <t>US11039198</t>
  </si>
  <si>
    <t>Terminal edge in-flight entertainment system</t>
  </si>
  <si>
    <t>16/108153</t>
  </si>
  <si>
    <t>Jean-Yves Couleaud, Francois Michel</t>
  </si>
  <si>
    <t>H04N 21/433 (20130101); H04N 21/2146 (20130101); H04L 67/1097 (20130101); H04N 21/47 (20130101); H04L 67/32 (20130101); H04N 21/426 (20130101); H04N 21/431 (20130101); H04L 67/12 (20130101)</t>
  </si>
  <si>
    <t>Courier electronic devices are used to transport seat video display unit     (SVDU) operating system (OS) code updates from a content operation center     to onboard a vehicle. The OS code used by the SVDUs is updated based on     the OS code update to generate an updated OS code, which is used to     curate entertainment content files from a mass storage device for     selection among by passengers for their consumption through the SVDUs.     Entertainment content files may also be selected by the content operation     center based on passenger characteristic information and loaded onto the     courier electronic devices for transport onboard the vehicle for transfer     to the SVDUs to update the entertainment content that is made available     for selection by the passengers. The courier electronic devices may be     used to facilitate transportation of other information between the SVDUs     in the content operation center.</t>
  </si>
  <si>
    <t>US11025291</t>
  </si>
  <si>
    <t>Low power, centralized data collection</t>
  </si>
  <si>
    <t>G01D 4/004 (20130101); H04B 1/0475 (20130101); H02J 7/0014 (20130101); H04B 1/44 (20130101); H04W 52/028 (20130101); H04B 1/1036 (20130101); H03F 3/24 (20130101); H04B 1/40 (20130101); H04W 52/0277 (20130101); H02J 7/007 (20130101); Y02B 90/20 (20130101); H04W 88/16 (20130101); H04B 2001/0408 (20130101); H04W 84/18 (20130101); H04W 88/06 (20130101); Y04S 20/30 (20130101); H04W 88/02 (20130101); H02J 7/345 (20130101)</t>
  </si>
  <si>
    <t>US11025092</t>
  </si>
  <si>
    <t>Wearable metabolic electrical charging apparatus</t>
  </si>
  <si>
    <t>HUNA, LLC</t>
  </si>
  <si>
    <t>Andrew Dagher</t>
  </si>
  <si>
    <t>H02J 50/12 (20160201); G10L 15/22 (20130101); H02J 7/02 (20130101); H02J 50/001 (20200101); H01L 35/32 (20130101); H02J 7/00034 (20200101); H02J 50/005 (20200101); H01L 35/30 (20130101); G10L 2015/223 (20130101)</t>
  </si>
  <si>
    <t>US11025076</t>
  </si>
  <si>
    <t>Portable power case with lithium iron phosphate battery</t>
  </si>
  <si>
    <t>H05K 5/0247 (20130101); H05K 5/023 (20130101); H02J 7/00 (20130101); H05K 5/0239 (20130101); H01M 50/24 (20210101); H02J 7/0042 (20130101); H01M 10/658 (20150401); H05K 5/0047 (20130101); H01M 10/425 (20130101); H01M 50/20 (20210101); H01M 50/256 (20210101); H05K 5/0086 (20130101); H05K 7/1427 (20130101); H05K 5/0217 (20130101); H01M 2220/30 (20130101); H01M 50/209 (20210101); H01M 10/0525 (20130101); H01M 10/4257 (20130101); H01M 4/5825 (20130101)</t>
  </si>
  <si>
    <t>US11025075</t>
  </si>
  <si>
    <t>Portable power case with heat-resistant material</t>
  </si>
  <si>
    <t>H02J 7/0031 (20130101); H01R 13/5213 (20130101); H01M 50/209 (20210101); A45C 3/001 (20130101); A41D 27/205 (20130101); A45C 11/00 (20130101); H02J 7/0068 (20130101); H01M 50/24 (20210101); H02J 7/0042 (20130101); A45C 13/08 (20130101); H02J 7/0047 (20130101); A45C 13/36 (20130101); H01M 10/425 (20130101); H01M 50/20 (20210101); A41D 1/005 (20130101); H01M 10/488 (20130101); A45C 15/00 (20130101); A45C 13/10 (20130101); H01R 2107/00 (20130101); A45C 2013/306 (20130101); A45C 2005/037 (20130101); H01M 2010/4271 (20130101); A45F 2005/023 (20130101); H01M 2220/30 (20130101); H02J 7/00 (20130101); H01M 2010/4278 (20130101); H02J 2207/40 (20200101); H02J 1/082 (20200101); H01R 24/64 (20130101); A45F 5/02 (20130101); H02J 7/35 (20130101)</t>
  </si>
  <si>
    <t>Systems, methods, and articles for a portable power case are disclosed.     The portable power case is comprised of at least one battery and at least     one PCB. The portable power case has at least two access ports, at least     two leads, or at least one access port and at least one lead and at least     one USB port. The portable power case is operable to supply power to an     amplifier, a radio, a wearable battery, a mobile phone, and a tablet. The     portable power case is operable to be charged using solar panels, vehicle     batteries, AC adapters, non-rechargeable batteries, and generators. The     portable power case provides for modularity that allows the user to     disassemble and selectively remove the batteries installed within the     portable power case housing.</t>
  </si>
  <si>
    <t>US10991992</t>
  </si>
  <si>
    <t>System for supplying power to a portable battery using at least one solar     panel</t>
  </si>
  <si>
    <t>H02S 30/20 (20141201); H01L 31/0508 (20130101); H01L 31/048 (20130101); H02S 40/34 (20141201); H01M 50/20 (20210101); H02J 7/35 (20130101); H02S 40/38 (20141201); H02S 40/42 (20141201); H02S 10/40 (20141201); H01M 10/465 (20130101); H01M 50/24 (20210101); A41D 1/04 (20130101); A41D 1/002 (20130101); H01M 2220/30 (20130101); F41H 1/02 (20130101)</t>
  </si>
  <si>
    <t>US10966529</t>
  </si>
  <si>
    <t>Portable workstation</t>
  </si>
  <si>
    <t>16/584696</t>
  </si>
  <si>
    <t>Jolie Downs</t>
  </si>
  <si>
    <t>A47C 1/14 (20130101); A47C 7/72 (20130101); A47C 4/283 (20130101); A47C 7/70 (20130101); A47C 7/66 (20130101); A47C 7/624 (20180801); A45F 3/04 (20130101); A45F 4/02 (20130101); A45F 3/08 (20130101); A45F 2004/026 (20130101); A47C 4/52 (20130101)</t>
  </si>
  <si>
    <t>A portable workstation is an apparatus that provides a work seat,     surface, and convenient resources for desk work. The apparatus is also     configured to collapse for ease of transport. The apparatus includes a     chair frame, a pack, a backing, a first telescoping table panel, a second     telescoping table panel, a first shoulder strap, and a second shoulder     strap. The chair frame provides support for the user. The pack can be     utilized to store a laptop, chargers, paper, writing implements, and     other items. The backing serves as protection for the collapsing     components in the closed configuration. The first telescoping table panel     and the second telescoping table panel extend into operative and resting     positions relative to each other. The first shoulder strap works in     conjunction with the second shoulder strap to provide a mechanism for the     user to conveniently carry the apparatus.</t>
  </si>
  <si>
    <t>US10966092</t>
  </si>
  <si>
    <t>Active base apparatus</t>
  </si>
  <si>
    <t>16/194708</t>
  </si>
  <si>
    <t>Michael Fong, Neric Hsin-wu Fong, Teddy David Thomas, Haydn Bennett Taylor</t>
  </si>
  <si>
    <t>H04L 9/3236 (20130101); H04W 12/10 (20130101); G06F 1/1632 (20130101); G06F 21/52 (20130101); G06F 1/189 (20130101); G06F 2221/033 (20130101); H04W 12/12 (20130101)</t>
  </si>
  <si>
    <t>In accordance with some embodiments, an apparatus for privacy protection     is provided. The apparatus includes a housing arranged to hold a personal     communication device and a peripheral interface supported by the housing,     where the peripheral interface is connectable to a supplemental     functional device. The apparatus further includes a local communication     device coupled to the peripheral interface and supported by the housing,     where the local communication device includes a personal communication     device interface modem operable to provide a communication channel     between the peripheral interface and the personal communication device.     The apparatus further includes a controller coupled to the peripheral     interface and the local communication device, where the controller is     operable to manage the communication channel between the supplemental     functional device and the personal communication device.</t>
  </si>
  <si>
    <t>US10958315</t>
  </si>
  <si>
    <t>Device for wireless inter-networking</t>
  </si>
  <si>
    <t>Thomas R  Bilotta, Edward C  Lin, Steven A  Morley, Robert E  Larose</t>
  </si>
  <si>
    <t xml:space="preserve">H04B7/0413; H04B7/0413; H04L5/14; H04L5/14; H04W16/14; H04W16/26; H04B7/0825; H04B7/0825; H04W84/042; H04W84/12; H04W84/12; H04W88/04; H04W88/04; H04W88/06; H04W88/06; H04W92/02; </t>
  </si>
  <si>
    <t>US10951865</t>
  </si>
  <si>
    <t>Personal tactical system including a power distribution and data hub and     network of personal tactical systems</t>
  </si>
  <si>
    <t>A41D 1/002 (20130101); H04N 5/2252 (20130101); A41D 13/0012 (20130101); H01M 50/116 (20210101); G08B 25/016 (20130101); H01M 50/10 (20210101); F41H 1/02 (20130101); H04N 7/185 (20130101); H01M 50/103 (20210101); A41D 1/04 (20130101); A41D 27/201 (20130101); H01M 10/425 (20130101); H01M 50/20 (20210101); H04N 5/2253 (20130101); H01M 50/256 (20210101); A41D 2300/33 (20130101); H01M 2220/30 (20130101); H02J 7/0029 (20130101); A41D 2300/32 (20130101); H01M 2010/4271 (20130101); A41D 2300/324 (20130101); A41D 2400/48 (20130101); H01M 2010/4278 (20130101); A41D 2300/326 (20130101); H01M 10/48 (20130101); H02J 7/0042 (20130101); H02J 7/342 (20200101); A41D 2300/322 (20130101)</t>
  </si>
  <si>
    <t>A personal tactical system including a load-bearing garment, a pouch with     one or more batteries enclosed in the pouch, at least one power     distribution and data hub, and at least one camera. The camera is     incorporated into or removably attachable to the load-bearing garment,     the pouch is removably attachable to the load-bearing garment and the one     or more batteries are operable to supply power to the at least one power     distribution and data hub. The at least one power distribution and data     hub is operable to supply power to at least one peripheral device. A     plurality of personal tactical systems is operable to form an ad hoc     network to share images and other information for determining object     direction, location, and movement.</t>
  </si>
  <si>
    <t>US10944140</t>
  </si>
  <si>
    <t>Wearable and replaceable pouch or skin for holding a portable battery pack</t>
  </si>
  <si>
    <t>H01M 50/256 (20210101); H01M 50/116 (20210101); H01M 50/543 (20210101); H02B 1/26 (20130101); H01M 50/147 (20210101); H01M 50/10 (20210101)</t>
  </si>
  <si>
    <t>US10924153</t>
  </si>
  <si>
    <t>Systems and methods for an external vehicle wireless connection</t>
  </si>
  <si>
    <t>16/278636</t>
  </si>
  <si>
    <t>Eric Eaton, Pha Nguyen</t>
  </si>
  <si>
    <t>G07C 5/008 (20130101); H04W 64/003 (20130101); H04B 1/44 (20130101); G07C 5/0841 (20130101); H04W 48/20 (20130101); H04B 1/0064 (20130101); H04W 48/18 (20130101)</t>
  </si>
  <si>
    <t>Systems and methods are disclosed for an external vehicle wireless     connection. Example methods may include: determining a condition     associated with a vehicle; determining, based on the condition, a     switching state between a first antenna external to the vehicle and a     second antenna internal to the vehicle associated with the vehicle;     transmitting, based on the switching state and via the first antenna, a     first signal on a first frequency and on a first network or on a second     network; and transmitting, based on the switching state and via the     second antenna, a second signal on a second frequency on the first     network.</t>
  </si>
  <si>
    <t>US10923827</t>
  </si>
  <si>
    <t>COBHAM EXETER INC.</t>
  </si>
  <si>
    <t>COBHAM EXETER</t>
  </si>
  <si>
    <t>H01Q 1/1235 (20130101); H01Q 1/273 (20130101); H01Q 11/086 (20130101); H01Q 1/362 (20130101)</t>
  </si>
  <si>
    <t>US10921094</t>
  </si>
  <si>
    <t>Personal tactical system with integrated ballistic frame</t>
  </si>
  <si>
    <t>15/710365</t>
  </si>
  <si>
    <t>Jason Beck</t>
  </si>
  <si>
    <t>F41H 1/02 (20130101); F41H 5/0485 (20130101); F41H 5/013 (20130101); A41D 1/04 (20130101); F41H 5/0478 (20130101)</t>
  </si>
  <si>
    <t>US10910874</t>
  </si>
  <si>
    <t>Portable power supply</t>
  </si>
  <si>
    <t>Raymond Ellis</t>
  </si>
  <si>
    <t>H02M 7/003 (20130101); H02J 1/10 (20130101); G06F 1/263 (20130101); H02J 9/061 (20130101); H02J 3/001 (20200101)</t>
  </si>
  <si>
    <t>US10910855</t>
  </si>
  <si>
    <t>Wearable multifunction power bank</t>
  </si>
  <si>
    <t>Seyed Mehdi Doorandish</t>
  </si>
  <si>
    <t>H02J 7/0063 (20130101); A45F 5/021 (20130101); H05K 7/2039 (20130101); H02J 7/35 (20130101); H02J 7/342 (20200101); H05K 5/0086 (20130101); A45F 2200/0516 (20130101); H02J 7/0042 (20130101); Y02E 60/10 (20130101)</t>
  </si>
  <si>
    <t>US10893989</t>
  </si>
  <si>
    <t>Autonomous critical care systems and integrated combat casualty care     systems</t>
  </si>
  <si>
    <t>16/022955</t>
  </si>
  <si>
    <t>ATHENA GTX, INC.</t>
  </si>
  <si>
    <t>ATHENA GTX</t>
  </si>
  <si>
    <t>Mark Darrah, Cesar Gradilla, John Elson, Gregory T. Darrah, Allen E. Brandenburg</t>
  </si>
  <si>
    <t>A61G 1/013 (20130101); A61B 5/0022 (20130101); A61B 5/0002 (20130101); A61B 5/6892 (20130101); A61G 1/04 (20130101); A61G 1/06 (20130101); A61G 2210/30 (20130101); A61B 5/6887 (20130101); A61B 5/0008 (20130101); A61B 5/0205 (20130101); A61B 5/318 (20210101); A61B 5/021 (20130101); A61B 5/02055 (20130101); A61B 5/024 (20130101); A61B 5/0006 (20130101); A61B 5/14557 (20130101); A61B 5/14551 (20130101); A61B 2505/01 (20130101); A61B 5/02028 (20130101); A61B 5/369 (20210101); A61B 5/0013 (20130101)</t>
  </si>
  <si>
    <t>Systems, devices, and methods for monitoring and treating a patient on     route to a medical facility are disclosed. The system comprises a     critical care unit; at least one patient monitoring device coupled to the     critical care unit, wherein the critical care unit obtains physiological     data about the patient from each patient monitoring device; at least one     patient treatment device coupled to the critical care unit, wherein the     critical care unit provides treatment instructions to each patient     treatment device; a two way communications device coupled to the critical     care unit; and a remote communications terminal in communication with the     two way communications device. The critical care unit preferably sends     the physiological data to the remote communications terminal and receives     the treatment instructions from the remote communications terminal via     the two way communications device.</t>
  </si>
  <si>
    <t>US10893526</t>
  </si>
  <si>
    <t>Dynamically modifying radio states of a user device</t>
  </si>
  <si>
    <t>16/398777</t>
  </si>
  <si>
    <t>Sougata Saha, Nick J. Baustert, Andrew Lawrence Liszewski, Rajveen Narendran, Sreekar Marupaduga, Saravana Kumar Velusamy, Ryan Christopher Lindstrom, Chris David Hiesberger</t>
  </si>
  <si>
    <t>H04W 52/0209 (20130101); H04W 72/048 (20130101)</t>
  </si>
  <si>
    <t>Systems and methods are provided for dynamically modifying the radio     state of a user device based on monitored properties of the user device.     One or more device properties associated with the power of the user     device are monitored to determine a radio state change for the user     device based on a triggering event. The triggering event corresponds to     the one or more monitored device properties, and based on the determined     radio state change for the user device, the radio state of the user     device is automatically modified. Based on the modified radio state,     information is transmitted to a cell site, the information including     modified user device capability information. Based on the modified user     device capability information, the user device receives communications     from the cell site.</t>
  </si>
  <si>
    <t>US10893242</t>
  </si>
  <si>
    <t>Mobile communication platform</t>
  </si>
  <si>
    <t>16/053338</t>
  </si>
  <si>
    <t>JENESIA1 INC.</t>
  </si>
  <si>
    <t>JENESIA1</t>
  </si>
  <si>
    <t>Kervin R. Spivey, Jevon L. Spivey</t>
  </si>
  <si>
    <t>H04N 7/185 (20130101)</t>
  </si>
  <si>
    <t>A communication vehicle system or platform that provides for the     integration of multiple audio, visual, telecommunications, thermal,     radiological, chemical and biological data detection and/or communication     devices. The communication vehicle can be configured for providing mobile     communications and surveillance in an environment in which the     surrounding communications and/or power infrastructure has been damaged     or is non-existent. For example, the vehicle can be deployed to the scene     of a disaster or emergency. Accordingly, the mobility of the preferred     communication vehicle can enhance and extend the reach of any emergency     operations center. Other possible applications include law enforcement     surveillance; tactical military command and control; weather and storm     chasing; homeland security search and rescue; forward deployment     monitoring, news agencies and border patrol. It can be operated in a     stand-alone mode or act as a versatile forward-deployable remote vehicle     while communicating to a rear command center.</t>
  </si>
  <si>
    <t>US10833520</t>
  </si>
  <si>
    <t>Wireless communications unit</t>
  </si>
  <si>
    <t>Stuart McLean</t>
  </si>
  <si>
    <t>H02J 7/0045 (20130101); H01M 10/425 (20130101); H01M 10/441 (20130101); H02J 7/0047 (20130101); H01M 10/482 (20130101); H01M 2010/4271 (20130101)</t>
  </si>
  <si>
    <t>US10813169</t>
  </si>
  <si>
    <t>Mesh network deployment kit</t>
  </si>
  <si>
    <t>Jorge Perdomo</t>
  </si>
  <si>
    <t>H04W 16/20 (20130101); H04W 84/18 (20130101); G06F 8/61 (20130101); G06F 8/65 (20130101); H04L 41/0809 (20130101); H04W 88/08 (20130101); H04W 84/12 (20130101)</t>
  </si>
  <si>
    <t>US10813074</t>
  </si>
  <si>
    <t>Systems and methods for managing resource utilization in a network of     moving things, for example including autonomous vehicles</t>
  </si>
  <si>
    <t>15/949867</t>
  </si>
  <si>
    <t>Rui Costa</t>
  </si>
  <si>
    <t>H04L 67/12 (20130101); H04W 24/08 (20130101); H04L 43/0817 (20130101); H04W 64/003 (20130101); H04L 67/34 (20130101); H04W 48/16 (20130101); H04W 4/40 (20180201); H04W 88/08 (20130101); H04W 84/005 (20130101)</t>
  </si>
  <si>
    <t>Communication network architectures, systems and methods for supporting a     network of mobile nodes. As a non-limiting example, various aspects of     this disclosure provide communication network architectures, systems, and     methods for managing resource utilization in a network of moving things,     for example including autonomous vehicles.</t>
  </si>
  <si>
    <t>US10770783</t>
  </si>
  <si>
    <t>Data communications system for a vehicle</t>
  </si>
  <si>
    <t>H01Q 1/1221 (20130101); H04B 1/38 (20130101); H05K 7/186 (20130101); H05K 5/0247 (20130101); H01Q 1/24 (20130101); H01Q 1/1207 (20130101); H05K 7/12 (20130101); H05K 5/0239 (20130101); H01Q 1/243 (20130101); H01Q 1/2291 (20130101); H04B 1/3888 (20130101); H01Q 1/3275 (20130101); H01Q 21/28 (20130101); H05K 5/023 (20130101); H05K 5/0221 (20130101); H04B 1/3822 (20130101); H01Q 1/42 (20130101)</t>
  </si>
  <si>
    <t>US10769947</t>
  </si>
  <si>
    <t>Mobile access point operable as a fixed access point in a network of     moving things, for example including a network of autonomous vehicles</t>
  </si>
  <si>
    <t>16/545592</t>
  </si>
  <si>
    <t>Daniel Cardoso de Moura</t>
  </si>
  <si>
    <t>G08G 1/133 (20130101); H04W 88/08 (20130101); H04W 16/18 (20130101); H04W 16/00 (20130101); G08G 1/0129 (20130101); G06Q 50/30 (20130101); G08G 1/0112 (20130101); H04W 4/40 (20180201); G06Q 30/0207 (20130101); H04W 84/005 (20130101); H04W 64/003 (20130101); H04W 24/02 (20130101); H04L 67/12 (20130101)</t>
  </si>
  <si>
    <t>Systems and methods for utilizing mobile access points as fixed access     points in a network of moving things, for example including autonomous     vehicles. As non-limiting examples, various aspects of this disclosure     provide systems and methods for strategically positioning mobile access     points at fixed locations, for example to flexibly augment the     capabilities of the vehicle communication network.</t>
  </si>
  <si>
    <t>US10735962</t>
  </si>
  <si>
    <t>Method and system for implementing ad hoc wireless capacity modification</t>
  </si>
  <si>
    <t>16/289358</t>
  </si>
  <si>
    <t>Pasha G. Mohammed, Gnanasekaran Swaminathan, Robert J. Morrill</t>
  </si>
  <si>
    <t>H04W 16/26 (20130101); H04W 16/24 (20130101); H04W 12/06 (20130101); H04W 84/18 (20130101); H04W 88/08 (20130101)</t>
  </si>
  <si>
    <t>Novel tools and techniques are provided for implementing wireless     communications, and, more particularly, to methods, systems, and     apparatuses for implementing ad hoc wireless capacity modification. In     various embodiments, a computing system might identify at least one     geographic area having at least one of weak wireless communications     coverage or non-existent wireless communications coverage, might deploy     one or more vehicles to the identified at least one geographic area, each     of the one or more vehicles comprising a mobile wireless base station,     and might establish wireless network communications between the mobile     wireless base station of at least one vehicle of the one or more vehicles     and at least one wireless network node of a telecommunications network     that is one of proximate to or within the at least one geographic area.     The one or more vehicles might comprise manned and/or unmanned vehicles,     including drones.</t>
  </si>
  <si>
    <t>US10727457</t>
  </si>
  <si>
    <t>F02K 1/72 (20130101); F02K 1/763 (20130101); H02S 40/38 (20141201); A45C 13/10 (20130101); H01M 2/1016 (20130101); A41D 1/002 (20130101); A41D 1/04 (20130101); A41D 13/015 (20130101); H01M 2/1005 (20130101); H01M 2220/30 (20130101); F05D 2260/96 (20130101)</t>
  </si>
  <si>
    <t>US10720710</t>
  </si>
  <si>
    <t>Managed access system including surface wave antenna and related methods</t>
  </si>
  <si>
    <t>15/709838</t>
  </si>
  <si>
    <t>HARRIS CORPORATION</t>
  </si>
  <si>
    <t>HARRIS</t>
  </si>
  <si>
    <t>Francis E. Parsche, Shawn H. Gallagher, James J. Ziarno</t>
  </si>
  <si>
    <t>H01Q 1/46 (20130101); H01Q 1/362 (20130101); H01Q 13/26 (20130101); H01Q 13/0241 (20130101); H01Q 11/02 (20130101); H01Q 13/0275 (20130101); H01P 3/10 (20130101)</t>
  </si>
  <si>
    <t>A managed access system is for mobile wireless devices (MWDs) in a     facility geographically within a wireless communications network of a     communications carrier. The system may include at least one RF antenna     arranged at the facility and including an RF launch structure, and an     elongate electrical conductor having a proximal end extending through the     RF launch structure and a distal end spaced apart from the RF launch     structure to define an elongate RF coverage pattern. The system may     further include radio equipment coupled to the at least one RF antenna,     and a management access controller cooperating with the radio equipment     to communicate with a given MWD in the elongate RF coverage pattern     within the facility, block outside communications via the wireless     communications network when the given MWD is an unauthorized MWD, and     provide outside communications via the wireless communications network     when the given MWD is an authorized MWD.</t>
  </si>
  <si>
    <t>US10716001</t>
  </si>
  <si>
    <t>Self-provisioning of mobile devices in deployable mobile     telecommunications networks</t>
  </si>
  <si>
    <t>Yichuang Jin, Ron McLeod</t>
  </si>
  <si>
    <t>H04W 4/90 (20180201); H04W 12/0023 (20190101); H04W 12/06 (20130101); H04L 9/0897 (20130101); H04L 9/3234 (20130101); H04L 41/0806 (20130101); H04W 8/18 (20130101); H04L 2209/80 (20130101); H04L 2209/72 (20130101)</t>
  </si>
  <si>
    <t>US10708823</t>
  </si>
  <si>
    <t>Systems and methods for cooperative, dynamic, and balanced access to the     infrastructure supporting the network of moving things, for example     including autonomous vehicles</t>
  </si>
  <si>
    <t>15/854290</t>
  </si>
  <si>
    <t>Tiago Condeixa</t>
  </si>
  <si>
    <t>H04W 4/027 (20130101); H04L 67/12 (20130101); H04W 4/44 (20180201); H04W 28/26 (20130101); H04W 28/16 (20130101); H04W 4/029 (20180201); H04W 84/005 (20130101)</t>
  </si>
  <si>
    <t>Communication network architectures, systems and methods for supporting a     network of mobile and/or static nodes, including for example autonomous     vehicles. As a non-limiting example, various aspects of this disclosure     provide communication network architectures, systems, and methods that     provide for cooperative, dynamic, and balanced access to the     communication network infrastructure supporting the Network of Moving     Things.</t>
  </si>
  <si>
    <t>US10696414</t>
  </si>
  <si>
    <t>Aerial capture platform</t>
  </si>
  <si>
    <t>15/331707</t>
  </si>
  <si>
    <t>GoPro</t>
  </si>
  <si>
    <t>GOPRO</t>
  </si>
  <si>
    <t>Nicholas D. Woodman, Pablo German Lema, Seung Heon Lee</t>
  </si>
  <si>
    <t>B64D 27/26 (20130101); B64C 2201/127 (20130101); B64C 2201/042 (20130101); B64C 2201/108 (20130101)</t>
  </si>
  <si>
    <t>An unmanned aerial vehicle comprises a housing, a plurality of first     arms, a plurality of second arms, and a landing gear. The housing     includes a gimbal attachment to couple a gimbal with a camera. Each of     the plurality of first arms and the plurality of second arms rotatably     couple with the housing at one end and has a motor coupled with a     propeller on the other end. The landing gear includes a plurality of     foldable legs and releasably couples with an underside of the housing.     The aerial vehicle may be programmed with aerial flight path data that     corresponds with a prior traced route.</t>
  </si>
  <si>
    <t>US10694147</t>
  </si>
  <si>
    <t>Network architecture for immersive audio-visual communications</t>
  </si>
  <si>
    <t>16/005440</t>
  </si>
  <si>
    <t>SHARED SPACE STUDIOS, LLC</t>
  </si>
  <si>
    <t>SHARED SPACE STUDIOS</t>
  </si>
  <si>
    <t>Amar Chopra Bakshi</t>
  </si>
  <si>
    <t>G06F 3/1446 (20130101); H04N 7/15 (20130101)</t>
  </si>
  <si>
    <t>This invention is directed to improving communication among people at     remote locations, accomplished at low cost, by communication schemes     involving "portal" structures, "channels" and "phonos." The portal     structures are mobile and easily deployed to the remote locations, for     quick assembly and use, creating an audio-visual immersive communication     experience for its users. A portal network architecture includes a     plurality of portals located in different remote locations, configured to     provide identical spaces that facilitate audio-video, immersive     conferencing among users at the various portal sites. The portal     interiors include favorable lighting and camera configurations to     facilitate display of life-size, realistic, and planar images of the     users while maintaining eye contact between them. The "channels"     facilitate viewing of landscape or persons from a distance and "phonos"     implementations provide an unmediated aural link between different     locations, enabling both real-time conversation and transmission of     ambient sounds.</t>
  </si>
  <si>
    <t>US10693530</t>
  </si>
  <si>
    <t>Wireless wide area network radio for a mobile telecommunication cellular network</t>
  </si>
  <si>
    <t>US10687379</t>
  </si>
  <si>
    <t>Communication apparatus</t>
  </si>
  <si>
    <t>16/237036</t>
  </si>
  <si>
    <t>SHALEV DORON SHAUL; FASTOVSKY JACOB; BREUER ALIZA</t>
  </si>
  <si>
    <t>Doron Shaul Shalev, Jacob Fastovsky, Aliza Breuer</t>
  </si>
  <si>
    <t>H04W 8/26 (20130101); H04W 80/02 (20130101); H04W 76/27 (20180201); H04W 76/16 (20180201); H04W 80/08 (20130101); H04W 84/12 (20130101)</t>
  </si>
  <si>
    <t>A communication system includes a Core Network (CN); a 3GPP Home Node-B     GateWay (HNB-GW); a Communication Apparatus (CA) coupled to the CN and     embedded in a Communication Device (CD), wherein said CA transforms a     3GPP Home Node-B (HNB) into a mobile or location independent portable     entity.</t>
  </si>
  <si>
    <t>US10680343</t>
  </si>
  <si>
    <t>Tactical radio signal booster apparatus and method</t>
  </si>
  <si>
    <t>US10679431</t>
  </si>
  <si>
    <t>Systems and methods for multi-vehicle adaptive data collection in a     network of moving things, for example including autonomous vehicles</t>
  </si>
  <si>
    <t>15/682886</t>
  </si>
  <si>
    <t>Ricardo Matos, Joao Barros, Joao Azevedo, Tiago Condeixa, Carlos Ameixieira</t>
  </si>
  <si>
    <t>H04L 67/12 (20130101); G07C 5/008 (20130101); H04W 4/70 (20180201); H04W 48/20 (20130101); G07C 5/02 (20130101); H04W 84/005 (20130101); H04W 24/04 (20130101)</t>
  </si>
  <si>
    <t>Systems and methods for optimizing data gathering in a network of moving     things. As non-limiting examples, various aspects of this disclosure     provide systems and methods for operating sensor systems and collecting     data from sensor systems in a network resource-efficient manner.</t>
  </si>
  <si>
    <t>US10674014</t>
  </si>
  <si>
    <t>System, method, and apparatus for providing help</t>
  </si>
  <si>
    <t>16/656774</t>
  </si>
  <si>
    <t>WAYS INVESTMENTS, LLC</t>
  </si>
  <si>
    <t>WAYS INVESTMENTS</t>
  </si>
  <si>
    <t>Mark Edward Gray</t>
  </si>
  <si>
    <t>H04M 3/42059 (20130101); H04W 76/50 (20180201); H04M 3/5191 (20130101); G10L 15/22 (20130101); H04M 3/5166 (20130101); H04M 3/42008 (20130101); H04M 3/4936 (20130101); H04M 3/5116 (20130101); H04M 2201/40 (20130101); G10L 2015/223 (20130101)</t>
  </si>
  <si>
    <t>A system for providing help includes at least one digital assistant, a     wireless data interface for connecting the digital assistants to a     server, and battery backup. A plurality of agent computers is connected     to the server by a data network. Each of the at least one digital     assistants is preprogrammed and centrally managed with at least one skill     for recognizing a preprogrammed specific utterance and each of the at     least one digital assistants is pre-configured to connect with the     wireless data interface. After the preprogrammed specific utterance is     detected by one of the digital assistants, that digital assistant     initiates a request for help to the server and upon receiving the request     for the help, the server assigns one of the agent computers and forwards     the request for help to the one of the agent computers.</t>
  </si>
  <si>
    <t>US10672060</t>
  </si>
  <si>
    <t>Methods and systems for automatically sending rule-based communications     from a vehicle</t>
  </si>
  <si>
    <t>15/396610</t>
  </si>
  <si>
    <t>NIO CO., LTD.</t>
  </si>
  <si>
    <t>NIO</t>
  </si>
  <si>
    <t>Christopher P. Ricci</t>
  </si>
  <si>
    <t>H04L 9/321 (20130101); G08G 1/096838 (20130101); G06Q 10/20 (20130101); B60W 40/08 (20130101); G07C 5/0816 (20130101); H04L 9/3226 (20130101); G07C 5/0858 (20130101); B60L 53/12 (20190201); G05D 1/0011 (20130101); G06Q 30/0206 (20130101); B60L 53/14 (20190201); G01C 21/3617 (20130101); G01C 21/3697 (20130101); G08G 1/09626 (20130101); G06Q 30/0613 (20130101); H01Q 1/3291 (20130101); G06Q 20/401 (20130101); B60W 50/08 (20130101); H01Q 1/3275 (20130101); G06Q 30/0625 (20130101); G05D 1/0088 (20130101); A61B 5/1172 (20130101); G06Q 30/012 (20130101); G06Q 20/4012 (20130101); G06Q 20/32 (20130101); G06Q 30/0601 (20130101); H02J 7/0068 (20130101); G08G 1/096775 (20130101); G07C 5/008 (20130101); B60L 53/65 (20190201); G07C 9/00563 (20130101); G06F 3/011 (20130101); G06Q 30/0208 (20130101); H04B 5/0037 (20130101); H04W 12/02 (20130101); G06K 9/00832 (20130101); G06Q 20/108 (20130101); G08G 1/0962 (20130101); G08G 1/017 (20130101); G06Q 20/405 (20130101); G06Q 30/0609 (20130101); G07C 5/0808 (20130101); H04W 4/44 (20180201); H04W 12/06 (20130101); G06K 9/00845 (20130101); H01Q 1/3266 (20130101); G06Q 20/3224 (20130101); G06F 21/32 (20130101); H01Q 1/3283 (20130101); H01Q 21/30 (20130101); G06Q 30/0635 (20130101); B60L 53/80 (20190201); G07C 5/02 (20130101); G06Q 20/105 (20130101); G06Q 30/0637 (20130101); A61B 5/1176 (20130101); G06Q 20/14 (20130101); B60L 53/665 (20190201); G01C 21/36 (20130101); A61B 5/1171 (20160201); G08G 1/096827 (20130101); G06F 21/31 (20130101); H01Q 1/325 (20130101); G07B 15/063 (20130101); G06F 21/6245 (20130101); H04W 4/80 (20180201); G06K 9/00087 (20130101); G08G 1/20 (20130101); B60M 1/00 (20130101); Y02T 10/7072 (20130101); B60L 9/00 (20130101); Y02T 90/122 (20130101); G08G 1/16 (20130101); B60Y 2300/60 (20130101); B60K 35/00 (20130101); B60R 2325/105 (20130101); Y04S 30/14 (20130101); B60L 2270/32 (20130101); A61B 2503/22 (20130101); H04L 2209/805 (20130101); Y02T 10/7005 (20130101); B60Y 2200/91 (20130101); B60L 8/006 (20130101); B60W 2540/21 (20200201); B60R 2011/004 (20130101); B60K 2370/334 (20190501); B60M 7/00 (20130101); B60Y 2200/912 (20130101); B60L 5/24 (20130101); B60L 2240/549 (20130101); B60W 2540/00 (20130101); G06K 9/00885 (20130101); B60R 2300/30 (20130101); B60Y 2302/07 (20130101); B60R 2011/0003 (20130101); B60Y 2200/92 (20130101); B60W 2050/143 (20130101); Y02T 90/121 (20130101); G01S 2013/9316 (20200101); Y02T 10/7083 (20130101); B60Y 2400/92 (20130101); G06K 9/00288 (20130101); B60L 8/003 (20130101); B60L 2240/70 (20130101); B60W 2300/34 (20130101); B60K 2370/1537 (20190501); B60L 2240/72 (20130101); B60W 2040/0809 (20130101); Y02T 90/14 (20130101); B60R 2300/804 (20130101); Y02T 90/124 (20130101); Y02T 90/16 (20130101); Y02T 10/7291 (20130101); Y02T 90/163 (20130101); H04L 2209/84 (20130101); H04L 2209/80 (20130101); Y02T 90/128 (20130101); Y02T 90/161 (20130101); Y02T 90/169 (20130101); B60W 2540/215 (20200201); B60L 7/10 (20130101); B60W 2050/146 (20130101)</t>
  </si>
  <si>
    <t>A vehicle is provided that determines a need for communication with a     third party vendor, retrieves the user rule from the memory (the user     rule defining to which third party vendor the vehicle can send a first     communication to address the need and defining a geographic location of     the third party vendor relative to a current location of the vehicle, a     monetary amount the vehicle can pay to a third party vendor for a product     or service to address the need, and a time limit for the third party     vendor to provide the product or service to address the need), based on     the user rule, selects a third party vendor from among multiple possible     third party vendors, and when determined by the user rule, automatically     sends the first communication to the selected third party vendor to order     the product or service and provides an authorization to the selected     third party vendor to complete the order. The vehicle uses different     communication protocols to provide the first communication and     authorization to the selected third party vendor.</t>
  </si>
  <si>
    <t>US10670749</t>
  </si>
  <si>
    <t>Method and system for transmission of seismic data</t>
  </si>
  <si>
    <t>15/251677</t>
  </si>
  <si>
    <t>MAGSEIS FF LLC</t>
  </si>
  <si>
    <t>MAGSEIS</t>
  </si>
  <si>
    <t>Clifford H. Ray, Glenn D. Fisseler</t>
  </si>
  <si>
    <t>G01V 1/22 (20130101); G01V 1/223 (20130101); H04Q 2209/43 (20130101)</t>
  </si>
  <si>
    <t>The transmission system combines a self-contained, wireless seismic     acquisition unit and a wireless, line of site, communications unit to     form a plurality of individual short-range transmission networks and also     a mid-range, line of sight transmission network. Each seismic unit has a     power source, a short-range transmitter/receiver disposed within a casing     and a geophone disposed within the casing. Each wireless communications     unit is formed of an elongated support structure on which is mounted an     independent power source, mid-range radio transmitter/receiver; and a     short-range transmitter/receiver configured to wirelessly communicate     with the short-range transmitter/receiver of the acquisition unit.     Preferably, when deployed, the acquisition unit is buried under the     surface of the ground, while the wireless communications unit is     positioned in the near vicinity of the buried unit so as to vertically     protrude above the ground. The acquisition unit and the wireless     communications unit communicate by short-range transmissions, while the     wireless communications unit communicates with other seismic acquisition     systems using mid-range radio transmission. When multiple seismic     acquisition unit/wireless communications units are deployed in an array,     the system can pass collected seismic and quality control data in relay     fashion back to a control station and/or pass timing and control signals     out to the array.</t>
  </si>
  <si>
    <t>US10660144</t>
  </si>
  <si>
    <t>Systems and methods in a network controller for providing communication     pathways in a network of moving things, for example including a network     of autonomous vehicles</t>
  </si>
  <si>
    <t>16/397659</t>
  </si>
  <si>
    <t>Diogo Lopes, Tiago Condeixa, Ricardo Matos, Henrique Cabral, Filipe Neves, Carlos Ameixiera</t>
  </si>
  <si>
    <t>H04W 76/10 (20180201); H04L 67/10 (20130101); H04W 76/15 (20180201); H04W 84/005 (20130101); H04W 92/20 (20130101); H04W 88/08 (20130101)</t>
  </si>
  <si>
    <t>Systems and methods for managing mobility in a network of moving things.     As non-limiting examples, various aspects of this disclosure provide     systems and methods for managing mobility in a network in which at least     a portion of the network access points are moving.</t>
  </si>
  <si>
    <t>US10659578</t>
  </si>
  <si>
    <t>H04M 1/026 (20130101); H04M 1/0249 (20130101); H04M 1/21 (20130101); A45F 3/04 (20130101); A45F 2003/003 (20130101); H04M 2001/0204 (20130101)</t>
  </si>
  <si>
    <t>US10651545</t>
  </si>
  <si>
    <t>Data communications case</t>
  </si>
  <si>
    <t>H01Q 1/2291 (20130101); H05K 5/023 (20130101); H05K 7/12 (20130101); H05K 7/186 (20130101); H01Q 21/28 (20130101); H05K 5/0221 (20130101); H05K 5/0239 (20130101); H05K 5/0247 (20130101); H01Q 1/243 (20130101); H01Q 1/1207 (20130101); H04B 1/38 (20130101)</t>
  </si>
  <si>
    <t>US10645603</t>
  </si>
  <si>
    <t>Portable autonomous vehicle connectivity platform</t>
  </si>
  <si>
    <t>Jeremy Chalmer, Jason Hilton, Jason Minahan</t>
  </si>
  <si>
    <t>H04W 84/005 (20130101); H04W 88/08 (20130101); G08G 5/0069 (20130101); G08G 5/0026 (20130101); G08G 5/0013 (20130101); H04W 24/10 (20130101); G08G 5/0004 (20130101); G08G 5/0034 (20130101); H04W 76/10 (20180201); H04B 7/18504 (20130101); H04W 84/12 (20130101); B64C 2201/12 (20130101); B64C 2201/146 (20130101); B64C 2201/00 (20130101); B64C 39/024 (20130101)</t>
  </si>
  <si>
    <t>A portable autonomous vehicle connectivity platform includes a portable     case, a local area network (LAN) side adapter, a wide area network (WAN)     side adapter, a gateway router, and a controller. The LAN side adapter is     communicates with autonomous vehicles (AVs). The WAN side adapter     communicates with a remote server. The gateway router bridges     communications between the LAN side adapter and the WAN side adapter. The     controller is coupled to the gateway router for caching mission log     reports received from the AVs and transmitting the mission log reports to     the remote server.</t>
  </si>
  <si>
    <t>US10616871</t>
  </si>
  <si>
    <t>Uplink data processing method and apparatus therefor</t>
  </si>
  <si>
    <t>16/087629</t>
  </si>
  <si>
    <t>KT CORPORATION</t>
  </si>
  <si>
    <t>KT</t>
  </si>
  <si>
    <t>Sung-pyo Hong, Woo-jin Choi</t>
  </si>
  <si>
    <t>H04W 72/1284 (20130101); H04W 72/0413 (20130101); H04W 76/15 (20180201); H04W 28/08 (20130101); H04W 72/042 (20130101); H04W 88/10 (20130101); H04W 84/12 (20130101)</t>
  </si>
  <si>
    <t>Provided are a method and an apparatus for processing uplink data. In     particular, a method of a terminal for processing uplink data may include     receiving configuration information for indicating uplink transmission     configuration for an LTE-WLAN Aggregation (LWA) bearer from a base     station; determining an uplink transmission path for the LWA bearer based     on the configuration information and a transmittable data amount; and     transmitting uplink data to the base station through the determined     uplink transmission path, wherein the LWA bearer is a bearer configured     to transmit the uplink data using at least one of a base station radio     resource and a Wireless Local Area Network (WLAN) radio resource.</t>
  </si>
  <si>
    <t>US10616813</t>
  </si>
  <si>
    <t>Wireless communication system for vehicles using both trackside WLAN and     cellular network communication</t>
  </si>
  <si>
    <t>15/649016</t>
  </si>
  <si>
    <t>Mats Karlsson</t>
  </si>
  <si>
    <t>H04W 92/12 (20130101); H04L 47/24 (20130101); H04W 36/14 (20130101); H04W 36/165 (20130101); H04L 67/12 (20130101); H04L 67/02 (20130101); H04W 84/005 (20130101); H04W 88/10 (20130101); H04W 84/12 (20130101); H04L 45/24 (20130101); H04W 84/042 (20130101)</t>
  </si>
  <si>
    <t>A method and system for wireless communication between a mobile router in     a moving vehicle, such as a train, and one or several external server(s)     via at least two types of external wireless networks, a first external     wireless network type, trackside network, including a plurality of     trackside base stations, such as access points, for communication in     compliance with a Wireless Local Area Network (WLAN) standard, said     trackside base stations being arranged in the vicinity of a vehicle path     of travel, and a second external wireless network type, cellular network,     communicating via cellular network standard(s), such as in accordance     with 3G, 4G or 5G standards, wherein the mobile router is arranged, at     least periodically, to simultaneously communicate with the two types of     external wireless networks thereby providing at least two concurrently     useable external wireless networks.</t>
  </si>
  <si>
    <t>US10616778</t>
  </si>
  <si>
    <t>Method, device and terminal for realizing coexistence of miracast and     hotspot</t>
  </si>
  <si>
    <t>15/755331</t>
  </si>
  <si>
    <t>Ruitao Fan</t>
  </si>
  <si>
    <t>H04W 24/02 (20130101); H04L 67/34 (20130101); H04L 67/104 (20130101); H04W 4/00 (20130101); H04W 84/12 (20130101)</t>
  </si>
  <si>
    <t>A method, a device and a terminal for realizing coexistence of Miracast     and Hotspot are provided. The method for realizing coexistence of     Miracast and Hotspot includes steps of: receiving a coexistence     instruction; judging whether Miracast of a terminal is turned off or     turned on; judging whether Hotspot of the terminal is turned on or turned     off in a case where Miracast of the terminal is turned off; turning off     Hotspot of the terminal and then turning on Miracast of the terminal in a     case where Hotspot of the terminal is turned on, and directly turning on     Miracast of the terminal in a case where Hotspot of the terminal is     turned off; turning on Hotspot of the terminal after turning on Miracast     of the terminal.</t>
  </si>
  <si>
    <t>US10616746</t>
  </si>
  <si>
    <t>System, device, and method for distress response</t>
  </si>
  <si>
    <t>Michael Fong, Neric Hsin-wu Fong, Teddy David Thomas</t>
  </si>
  <si>
    <t>G06F 3/017 (20130101); H04W 4/90 (20180201); H04B 1/3888 (20130101); H04W 76/10 (20180201)</t>
  </si>
  <si>
    <t>US10616719</t>
  </si>
  <si>
    <t>Systems and methods for determining texting locations and network coverage</t>
  </si>
  <si>
    <t>14/968871</t>
  </si>
  <si>
    <t>David Thomas</t>
  </si>
  <si>
    <t>H04L 51/20 (20130101); H04W 4/026 (20130101); H04L 69/40 (20130101); H04W 4/50 (20180201); H04W 4/14 (20130101); H04W 4/90 (20180201); H04W 4/029 (20180201); H04W 4/12 (20130101); H04W 4/21 (20180201); H04L 69/28 (20130101)</t>
  </si>
  <si>
    <t>A system utilizing an Adventure Rescue Locator app and a Buddy app allows     an adventurer to communicate his or her location throughout an adventure.     The ARL app can provide quick and simple check-in messages that transmit     location and other information and build a database of known "good"     locations from which an adventurer is able to communicate via text, as     well as known "not good" locations. The apps can share such information     with a wide user-base, thus making the location information available to     others. The app can serve to display the adventurer's check-in locations     on a map; alert that the adventurer has an adventure in progress; keep     track of the time the adventurer is planning on returning home and alert     if the Adventurer fails to arrive; auto-confirm check-in texts with the     ARL app; etc.</t>
  </si>
  <si>
    <t>US10616534</t>
  </si>
  <si>
    <t>Personal tactical system and network</t>
  </si>
  <si>
    <t>H04N 7/185 (20130101); A41D 1/04 (20130101); A41D 27/201 (20130101); G08B 25/016 (20130101); H01M 2/1022 (20130101); F41H 1/02 (20130101); A41D 1/002 (20130101); H01M 10/425 (20130101); H01M 2/0207 (20130101); A41D 13/0012 (20130101); H01M 2/1005 (20130101); H01M 2/0217 (20130101); H04N 5/2252 (20130101); H04N 5/2253 (20130101); H01M 2/026 (20130101); H02J 7/0042 (20130101); H01M 2010/4278 (20130101); A41D 2300/322 (20130101); A41D 2300/324 (20130101); H01M 10/48 (20130101); H01M 2010/4271 (20130101); A41D 2300/326 (20130101); A41D 2300/33 (20130101); H01M 2220/30 (20130101); A41D 2400/48 (20130101); H02J 7/0029 (20130101); A41D 2300/32 (20130101); H02J 7/342 (20200101)</t>
  </si>
  <si>
    <t>US10602462</t>
  </si>
  <si>
    <t>Hotspot channel congestion mitigation</t>
  </si>
  <si>
    <t>16/206369</t>
  </si>
  <si>
    <t>Nixon Cheaz, Akanksha Pramod Joshi, Ariel Borochov, Sarah L. Talty, Nanditha Sivashankar</t>
  </si>
  <si>
    <t>H04W 72/0433 (20130101); H04W 48/06 (20130101); H04W 72/0486 (20130101); H04W 52/343 (20130101); H04W 72/0426 (20130101); H04W 72/0473 (20130101); H04W 48/16 (20130101); H04W 28/08 (20130101)</t>
  </si>
  <si>
    <t>Mitigating channel congestion, or crowding, that degrades the performance     capabilities of a venue-provided access point, or hotspot, can include     identifying, with a mobile communication device, the venue-provided     access point. Additionally, mitigating channel congestion can also     include establishing a mobile hotspot with the mobile communication     device. The mobile communication device can establish the mobile hotspot     on a channel different from a channel used by the venue-provided access     point. Mitigating channel congestion can also include reducing a signal     radius of the mobile communication device by reducing transmission power     of the mobile communication device.</t>
  </si>
  <si>
    <t>US10602424</t>
  </si>
  <si>
    <t>System and method for digital communication between computing devices</t>
  </si>
  <si>
    <t>15/694369</t>
  </si>
  <si>
    <t>H04L 67/125 (20130101); H04L 45/745 (20130101); H04W 12/08 (20130101); H04L 5/0007 (20130101); H04L 67/18 (20130101); H04L 67/10 (20130101); H04W 40/20 (20130101); H04W 4/021 (20130101); H04W 40/12 (20130101); H04L 5/00 (20130101); H04L 67/04 (20130101)</t>
  </si>
  <si>
    <t>A wireless communication device, comprising radio frequency transceivers     which transmit outbound messages to targeted receivers, and receive the     inbound messages addressed to the respective transceiver; each having a     processor which controls the transceiver to establish communication     sessions according to a protocol, and processes targeting and address     information. The transceiver communicates with a telephone device having     a telephone address book containing information which defines the targets     and address for a telephone network and perhaps other networks. The     address book entries are human editable through a human machine user     interface. The address book entries are intended for centrally controlled     switch networks having hierarchically formatted address information, but     since these are at least quasi-unique, they are used as address labels in     an unswitched peer-to-peer network formed of the transceivers. This     permits a common address scheme across the peer-to-peer network and     switched network of the telephone device.</t>
  </si>
  <si>
    <t>US10601811</t>
  </si>
  <si>
    <t>Method for connecting to WLAN hotspot device, WLAN hotspot device, and     user equipment</t>
  </si>
  <si>
    <t>15/159101</t>
  </si>
  <si>
    <t>Zhen Zhong</t>
  </si>
  <si>
    <t>H04L 63/083 (20130101); H04W 12/003 (20190101); H04W 12/06 (20130101); H04W 12/08 (20130101); H04W 48/14 (20130101); H04W 84/12 (20130101); H04W 12/00522 (20190101)</t>
  </si>
  <si>
    <t>A method for connecting to a Wi-Fi hotspot device, the Wi-Fi hotspot     device, and a user equipment (UE), where the method includes generating,     by the Wi-Fi hotspot device, a two-dimensional barcode according to Wi-Fi     authentication information, where the two-dimensional barcode includes     the Wi-Fi authentication information, and the Wi-Fi authentication     information is used for authentication prior to connection to the Wi-Fi     hotspot device, and presenting, by the Wi-Fi hotspot device, the     two-dimensional barcode to the UE using a display screen of the Wi-Fi     hotspot device such that the UE may connect to the Wi-Fi hotspot device     according to the two-dimensional barcode, and a user does not need to     memorize or record the Wi-Fi authentication information, thereby     improving user experience.</t>
  </si>
  <si>
    <t>US10601659</t>
  </si>
  <si>
    <t>Methods to signal current MIMO RX antenna configuration status</t>
  </si>
  <si>
    <t>15/007444</t>
  </si>
  <si>
    <t>Maomao Chen, Fredrik Nordstrom</t>
  </si>
  <si>
    <t>H04W 72/0453 (20130101); H04B 17/21 (20150115); H04L 1/0026 (20130101); H04B 17/327 (20150115); H04B 7/063 (20130101); H04L 1/0007 (20130101); H04B 7/0417 (20130101); H04L 1/0015 (20130101); H04L 1/0022 (20130101); H04B 7/0413 (20130101); H04B 7/066 (20130101); H04B 17/0087 (20130101); H04B 7/0643 (20130101); H04L 1/0023 (20130101); H04L 41/0853 (20130101); H04L 1/0027 (20130101); H04W 52/245 (20130101); H04B 17/318 (20150115); H04L 5/0048 (20130101); H04B 17/0085 (20130101); H04L 1/06 (20130101); G01R 29/105 (20130101); H04L 1/0003 (20130101); H04L 1/0009 (20130101)</t>
  </si>
  <si>
    <t>In MIMO wireless communication networks, receiver MIMO antenna parameters     are not static over time. For example, the MIMO channel correlation is     higher for high frequency bands than for low frequency bands. This     variability of the receiver antenna parameters introduces uncertainty     based the reported CSI (e.g., CQI, PMI, RI) if the network uses only     static assumptions for such antenna parameter values. In embodiments, the     UE determines the current status of its receive antenna parameters--such     as number, configuration, correlation, and power imbalance--and transmits     this information to the network (e.g., serving BS). The network node then     based on the received information performs one or more radio operational     tasks leading to more efficient use of radio resources and enhanced     system performance.</t>
  </si>
  <si>
    <t>US10601494</t>
  </si>
  <si>
    <t>Dual-band communication device and method for use therewith</t>
  </si>
  <si>
    <t>Giovanni Vannucci</t>
  </si>
  <si>
    <t>H04B 7/0617 (20130101); H04B 7/15507 (20130101); H04W 16/28 (20130101); H04B 1/0064 (20130101); H01Q 5/22 (20150115); H04B 2203/5495 (20130101); H04B 2203/5479 (20130101); H01Q 3/2605 (20130101); H04B 2203/5483 (20130101); H01Q 3/36 (20130101); H04B 3/56 (20130101); H04W 72/0453 (20130101); H01Q 5/10 (20150115); H04B 3/58 (20130101); H04B 2203/5437 (20130101); H04W 88/10 (20130101); H04B 2203/5441 (20130101); H01Q 1/243 (20130101); H01Q 21/22 (20130101)</t>
  </si>
  <si>
    <t>Aspects of the subject disclosure may include, for example, a method for     use with a communication device that includes: communicating in a first     frequency band with a remote device via at least one transceiver, wherein     the remote device is oriented at a direction relative to the     communication device, wherein the communicating is in accordance with     first antenna beam steering parameters and a first antenna beam     corresponding to the direction; and, communicating in a second frequency     band with the remote device via the at least one transceiver, wherein the     second frequency band is higher than the first frequency band, wherein     the at least one transceiver is pre-initialized with second antenna beam     steering parameters to generate a second antenna beam corresponding to     the direction, and wherein the second antenna beam steering parameters     are generated based on the first antenna beam steering parameters.</t>
  </si>
  <si>
    <t>US10596461</t>
  </si>
  <si>
    <t>Information processing system, case, and cardboard member</t>
  </si>
  <si>
    <t>15/661276</t>
  </si>
  <si>
    <t>Nintendo</t>
  </si>
  <si>
    <t>NINTENDO</t>
  </si>
  <si>
    <t>Yuki Onozawa, Shinichi Kasuno, Yoshiyasu Ogasawara, Hitoshi Tsuchiya, Kochi Kawai</t>
  </si>
  <si>
    <t>A63F 13/211 (20140902); A63F 13/214 (20140902); A63F 13/25 (20140902); A63F 13/23 (20140902); A63F 13/98 (20140902); A63F 13/30 (20140902); A63F 13/245 (20140902); A63F 13/40 (20140902); A63F 13/213 (20140902); A63F 13/24 (20140902); A63F 13/92 (20140902)</t>
  </si>
  <si>
    <t>A data transmission device that includes an image capturing unit and     transmits data generated based on an image captured by the image     capturing unit is allowed to be located at a case while at least a part     of the data transmission device is accommodated in the case, such that an     image capturing direction of the image capturing unit is directed toward     an inner space of a case main body. An image capturing target member     movable in the inner space of the case main body in accordance with an     operation made from outside of the case main body is located at a     position where an image of the image capturing target member is allowed     to be captured by the image capturing unit. Based on the transmitted     data, an information process is executed.</t>
  </si>
  <si>
    <t>US10587033</t>
  </si>
  <si>
    <t>H04B 1/38 (20130101); H05K 5/0247 (20130101); H01Q 1/1207 (20130101); H05K 5/0239 (20130101); H05K 7/12 (20130101); H01Q 1/243 (20130101); H01Q 1/2291 (20130101); H05K 5/0221 (20130101); H01Q 21/28 (20130101); H05K 7/186 (20130101); H05K 5/023 (20130101)</t>
  </si>
  <si>
    <t>US10581140</t>
  </si>
  <si>
    <t>Antenna module having metal frame antenna segment and electronic device     including the same</t>
  </si>
  <si>
    <t>15/392217</t>
  </si>
  <si>
    <t>Young-Ki Lee, Jae-suk Lee, Il-Jong Song, Yo-Han Jang</t>
  </si>
  <si>
    <t>H01Q 21/28 (20130101); H01Q 7/06 (20130101); H01Q 1/38 (20130101); H01Q 1/243 (20130101); H01Q 21/30 (20130101); H01Q 1/362 (20130101); H01Q 7/00 (20130101); H01Q 1/2291 (20130101); H04B 5/0031 (20130101); H01Q 1/273 (20130101)</t>
  </si>
  <si>
    <t>An antenna module including a first antenna configured to transmit and     receive a plurality of signals, the first antenna including a first frame     antenna segment including at least a part of a metal frame, the metal     frame surrounding a body housing of an electronic device, and a first     coil antenna segment connected to the first frame antenna segment, the     first coil antenna segment including a first conductive coil may be     provided.</t>
  </si>
  <si>
    <t>US10578879</t>
  </si>
  <si>
    <t>Microdisplay based immersive headset</t>
  </si>
  <si>
    <t>16/422548</t>
  </si>
  <si>
    <t>EMAGIN CORPORATION</t>
  </si>
  <si>
    <t>EMAGIN</t>
  </si>
  <si>
    <t>Jerome T. Carollo, Amal Ghosh, John Chi-Liang Ho, Andrew Thomas Manning Rosen</t>
  </si>
  <si>
    <t>H04N 13/286 (20180501); G06T 19/006 (20130101); G02B 27/0172 (20130101); G09G 5/005 (20130101); G02B 27/0179 (20130101); G02B 27/0176 (20130101); G02B 2027/0161 (20130101); G09G 2360/10 (20130101); G02B 2027/0154 (20130101); G02B 2027/0178 (20130101); G02B 2027/0169 (20130101); G02B 2027/0156 (20130101); G02B 2027/0152 (20130101); G02B 2027/0181 (20130101); G02B 2027/0132 (20130101)</t>
  </si>
  <si>
    <t>An immersive headset device is provided that includes a display portion     and a body portion. The display portion may include microdisplays having     a compact size. The microdisplays may be movable (e.g., rotational)     relative to the body portion and can be moved (e.g., rotated) between a     flipped-up position and a flipped-down position. In some instances, when     the microdisplays are flipped up, the headset provides an augmented     reality (AR) mode to a user, and when the microdisplays are flipped down,     the headset provide a virtual reality (VR) mode to the user. In certain     implementations, the headset includes an electronics source module to     provide power and/or signal to the microdisplays. The electronics source     module can be attached to a rear of the body portion in order to provide     advantageous weight distribution about the head of the user.</t>
  </si>
  <si>
    <t>US10574061</t>
  </si>
  <si>
    <t>Smart bag</t>
  </si>
  <si>
    <t>16/552416</t>
  </si>
  <si>
    <t>Syed S. Azam, Kent E. Biggs, Robert C. Brooks</t>
  </si>
  <si>
    <t>A45F 3/04 (20130101); A45C 11/00 (20130101); H02J 7/00 (20130101); H02J 7/342 (20200101); G06F 9/06 (20130101); H02J 7/02 (20130101); H02J 7/35 (20130101); A45C 15/00 (20130101); H02J 7/00041 (20200101); H02J 7/0044 (20130101); A45C 3/00 (20130101); A45F 4/02 (20130101); A45F 2005/002 (20130101); A45C 2011/002 (20130101); H02J 7/00034 (20200101)</t>
  </si>
  <si>
    <t>US10567571</t>
  </si>
  <si>
    <t>Limiting distraction from in-vehicle portable devices</t>
  </si>
  <si>
    <t>16/035555</t>
  </si>
  <si>
    <t>YAZAKI CORPORATION</t>
  </si>
  <si>
    <t>YAZAKI</t>
  </si>
  <si>
    <t>Sivashankar Yoganathan, Anand Ganesan Kaygee, Michael David Dipperstein, Roy Lujan Soto</t>
  </si>
  <si>
    <t>H04M 1/72577 (20130101); H04W 4/021 (20130101); H04W 4/40 (20180201); H04W 4/48 (20180201); H04W 4/025 (20130101); H04M 1/72572 (20130101); H04W 4/42 (20180201); H04W 4/80 (20180201); H04M 1/6091 (20130101)</t>
  </si>
  <si>
    <t>Disclosed is a technique for managing communications of portable devices     within a vehicle through an in-vehicle router system. The in-vehicle     router system includes a plurality of out-of-band interfaces used to     determine a user type associated with a portable device used to manage a     connection with a wireless access point. The out-of-band interface     receives a query from a portable device via a first communication link.     The query includes identifying information of the portable device and a     request for network credentials to a second communication link with a     wireless access point. A user type is determined based on a location of     the out-of-band interface and a unique identifier. Network credentials     associated with the determined user type are retrieved. The network     credentials are provided to the portable device via the first     communication link. Access to the second communication link is restricted     based on the user type and/or vehicle status information.</t>
  </si>
  <si>
    <t>US10561225</t>
  </si>
  <si>
    <t>Adaptable backpack</t>
  </si>
  <si>
    <t>16/204046</t>
  </si>
  <si>
    <t>Naina Parekh</t>
  </si>
  <si>
    <t>A45F 3/04 (20130101); A45F 3/047 (20130101); A61H 7/00 (20130101); A61H 2205/081 (20130101); A61H 2201/0157 (20130101); A61H 2201/1207 (20130101); A61H 2201/0107 (20130101); A61H 2201/0119 (20130101); A45F 2003/122 (20130101); A45F 2003/003 (20130101)</t>
  </si>
  <si>
    <t>An adaptable backpack (1000) comprising a housing (100), a first comfort     plate (200) and a second comfort plate (300). The first comfort plate     (200) is having at least one detachable massaging unit (210) and is     configured to couple with a pair of opposed extremities (120a) of a back     surface (120) of the housing (100) thereby configuring an enclosure. The     second comfort plate (300) is disposed within the enclosure such that a     portion of the second comfort plate (300) extends through the first     comfort plate (200) at the opposed extremities (120b). The second comfort     (300) plate is having at least one detachable massaging unit (310) and at     least one length adaptable member (330) which is configured to control     movement of the second comfort plate (300) along a longitudinal direction     within the enclosure. A method of adjusting the detachable massaging     units (210, 310) of the adaptable backpack (1000) is also provided.</t>
  </si>
  <si>
    <t>US10560449</t>
  </si>
  <si>
    <t>H04W 48/14 (20130101); H04W 12/08 (20130101); H04L 63/083 (20130101); H04W 12/003 (20190101); H04W 12/06 (20130101); H04W 84/12 (20130101); H04W 12/00522 (20190101)</t>
  </si>
  <si>
    <t>US10554243</t>
  </si>
  <si>
    <t>Multiway switch, radio frequency system, and wireless communication device</t>
  </si>
  <si>
    <t>16/183714</t>
  </si>
  <si>
    <t>Oppo</t>
  </si>
  <si>
    <t>GUANGDONG OPPO MOBILE TELECOMMUNICATIONS</t>
  </si>
  <si>
    <t>Jian Bai</t>
  </si>
  <si>
    <t>H04B 7/0404 (20130101); H04B 1/005 (20130101); H04B 7/0686 (20130101); H04B 1/40 (20130101); H04W 88/06 (20130101); H01Q 7/00 (20130101)</t>
  </si>
  <si>
    <t>A multiway switch, a radio frequency system, and a wireless communication     device include four throw (T) ports and four pole (P) ports, and the four     T ports include one first T port coupled with all of the four P ports.     The multiway switch is configured to be coupled with a radio frequency     circuit and an antenna system of an electronic device operable in a     dual-frequency single-transmit mode, to enable a preset function of the     electronic device, the antenna system includes four antennas     corresponding to the four P ports, and the preset function is a function     of transmitting a sounding reference signal (SRS) through the four     antennas in turn.</t>
  </si>
  <si>
    <t>US10548033</t>
  </si>
  <si>
    <t>Local portable test systems and methods</t>
  </si>
  <si>
    <t>15/236326</t>
  </si>
  <si>
    <t>ADVANTEST AMERICA, INC.</t>
  </si>
  <si>
    <t>ADVANTEST AMERICA</t>
  </si>
  <si>
    <t>Dinesh Doshi, Mark Elston, Amit Kucheriya, Derek Diperna, Vipul Jain, Liqun Liu, Ira Leventhal</t>
  </si>
  <si>
    <t>H04W 24/02 (20130101); H04W 24/06 (20130101); H04W 88/08 (20130101)</t>
  </si>
  <si>
    <t>In one embodiment, a test system comprises: a network access point     simulation component configured to simulate network access point     operations and to simulate test interactions with user equipment, and a     local control component configured to direct the network access point     simulation component and to control test interactions with the user     equipment. The number of devices under test included in the user     equipment and distinct network access points that are coincidentally     simulated are variable. In one exemplary implementation, the local     control component comprises a test executive operable to direct     simulation of communication network operations and the test interactions     in accordance with information received from the remote control     components. The network access point simulation component and local     control component are portable.</t>
  </si>
  <si>
    <t>US10536815</t>
  </si>
  <si>
    <t>Tracking a wireless device using a seamless handoff between a vehicle and     a mobile device</t>
  </si>
  <si>
    <t>David McNabb, John Robert Van Wiemeersch</t>
  </si>
  <si>
    <t>H04W 36/03 (20180801); H04W 36/30 (20130101); H04W 4/029 (20180201); H04W 64/006 (20130101); H04W 4/40 (20180201); H04W 36/18 (20130101); H04W 36/32 (20130101); H04W 84/18 (20130101)</t>
  </si>
  <si>
    <t>Method and apparatus are disclosed for tracking a wireless device using a     seamless handoff between a vehicle and a mobile device. An example     vehicle includes internal and external antennas, a sensor, and an     infotainment head unit with a display. The infotainment head unit tracks,     using the external antenna, a wireless-enabled object exterior to the     vehicle. The infotainment head unit also determines a location of the     mobile device associated with the vehicle based on the sensor and the     internal and external antennas. Additionally, when the mobile device     exits the vehicle, the infotainment head unit automatically transitions     tracking information to the mobile device.</t>
  </si>
  <si>
    <t>US10536814</t>
  </si>
  <si>
    <t>Method for determining presence of a mobile computing device in a vehicle</t>
  </si>
  <si>
    <t>16/451722</t>
  </si>
  <si>
    <t>PASSPORT LABS, INC.</t>
  </si>
  <si>
    <t>PASSPORT LABS</t>
  </si>
  <si>
    <t>Michael N. B. Scully, Raymond Robinson</t>
  </si>
  <si>
    <t>H04W 4/40 (20180201); H04W 4/029 (20180201); G07C 5/008 (20130101); H04M 1/72569 (20130101); H04M 1/72572 (20130101); H04W 4/027 (20130101)</t>
  </si>
  <si>
    <t>A method of determining the presence of a mobile computing device in a     vehicle includes: moving the mobile computing device into a vehicle;     establishing a data communications connection to the mobile computing     device over a data network; collecting at least one identifying factor     through the data communications connection which at least partially     identifies the vehicle; using an electronic processor, executing at least     one software rule to make a vehicle determination which identifies the     vehicle based on the at least one identifying factor; and storing the     result of the vehicle determination for further use.</t>
  </si>
  <si>
    <t>US10536497</t>
  </si>
  <si>
    <t>Systems and methods for communication using a transport channel with     improved multimedia content distribution in a network of moving things</t>
  </si>
  <si>
    <t>16/170618</t>
  </si>
  <si>
    <t>Tiago Silvestre Condeixa, Diogo Miguel Augusto Lopes</t>
  </si>
  <si>
    <t>H04W 88/04 (20130101); H04L 65/4084 (20130101)</t>
  </si>
  <si>
    <t>Communication network architectures, systems, and methods for supporting     a network of mobile nodes are disclosed. As a non-limiting example,     various aspects of this disclosure provide communication network     architectures, systems, and methods for supporting a dynamically     configurable communication network comprising a complex array of both     static and moving communication nodes (e.g., the Internet of moving     things), where the network may involve autonomous and/or non-autonomous     vehicles.</t>
  </si>
  <si>
    <t>US10534894</t>
  </si>
  <si>
    <t>Mobile medicine communication platform and methods and uses thereof</t>
  </si>
  <si>
    <t>15/487955</t>
  </si>
  <si>
    <t>BR INVENTION HOLDING, LLC</t>
  </si>
  <si>
    <t>INVENTION HOLDING</t>
  </si>
  <si>
    <t>Stuart Alan Stein, Craig Steven Smith</t>
  </si>
  <si>
    <t>H01Q 9/0407 (20130101); H04B 7/18528 (20130101); H01Q 21/24 (20130101); H01Q 21/28 (20130101); H04L 1/00 (20130101); H01Q 21/26 (20130101); H01Q 9/28 (20130101); G16H 40/67 (20180101); A61B 5/0022 (20130101); H01Q 1/42 (20130101); A61B 5/024 (20130101); H04L 69/40 (20130101); H01Q 1/1214 (20130101); H01Q 1/3275 (20130101); H04L 67/12 (20130101)</t>
  </si>
  <si>
    <t>Telemedicine systems and methods are described. In a telemedicine system     operable to communicate with a remote operations center, communications     can be transmitted/received using a transceiver having an antenna. The     antenna can include first and second di-pole antenna elements, the first     di-pole antenna element being vertically polarized and the second di-pole     antenna element being horizontally polarized. A controller of the system     can establish, using the transceiver, a telemedicine session with the     operations center using a Transport Morphing Protocol (TMP), the TMP     being an acknowledgement-based user datagram protocol. The controller can     also mask one or more transient network degradations to increase     resiliency of the telemedicine session. The telemedicine system can     include a 2D and 3D carotid Doppler and transcranial Doppler and/or other     diagnostic devices, and provides for real-time connectivity and     communication between medical personnel in an emergency vehicle and a     receiving hospital for immediate diagnosis and treatment to a patient in     need.</t>
  </si>
  <si>
    <t>US10534203</t>
  </si>
  <si>
    <t>Near-field antenna for eyewear</t>
  </si>
  <si>
    <t>15/664485</t>
  </si>
  <si>
    <t>SNAP INC.</t>
  </si>
  <si>
    <t>SNAP</t>
  </si>
  <si>
    <t>Ugur Olgun, Patrick Kusbel, Russell Douglas Patton, Jonathan M Rodriguez, II, Patrick Timothy McSweeney Simons</t>
  </si>
  <si>
    <t>H01Q 1/273 (20130101); H04B 1/18 (20130101); H04B 1/385 (20130101); H04B 5/0075 (20130101); H04B 5/0031 (20130101); H02J 50/10 (20160201); H01Q 7/00 (20130101); G02C 11/10 (20130101); G06Q 20/3278 (20130101); H01Q 5/50 (20150115)</t>
  </si>
  <si>
    <t>Apparatuses and systems for wearable devices such as eyewear are     described. According to one embodiment, the wearable device includes a     frame, onboard electronics components, and an antenna disposed around an     eyepiece area of the frame that is configured to hold an optical element.     The antenna is configured for inductive coupling. In some embodiments, a     switch coupled to the antenna allows selection between circuitry for     inductive charging of a battery and near-field communication (NFC)     circuitry for communicating data via the antenna.</t>
  </si>
  <si>
    <t>US10531590</t>
  </si>
  <si>
    <t>H01M 2/0207 (20130101); H01M 2/0404 (20130101); H01M 2/1022 (20130101); H05K 7/1492 (20130101); H01M 2/026 (20130101); H04L 29/04 (20130101); H01M 2/1094 (20130101); H02B 1/26 (20130101); H01M 2/0217 (20130101); H01M 2/0482 (20130101)</t>
  </si>
  <si>
    <t>US10524112</t>
  </si>
  <si>
    <t>Radio access system and portable terminal device</t>
  </si>
  <si>
    <t>16/182383</t>
  </si>
  <si>
    <t>NEC Corporation</t>
  </si>
  <si>
    <t>NEC</t>
  </si>
  <si>
    <t>Kouhei Gotou, Masashi Kanauchi</t>
  </si>
  <si>
    <t>H04W 68/02 (20130101); H04W 8/06 (20130101); H04W 60/005 (20130101); H04W 60/00 (20130101); H04W 60/02 (20130101); H04W 48/16 (20130101); H04W 88/06 (20130101)</t>
  </si>
  <si>
    <t>As a result of ISR being enabled between a portable terminal device and a     network which are capable of communicating by using the communication     protocols of a plurality of wireless access technologies, the portable     terminal device-performs position registration processing between the     plurality of wireless access technologies and the portable terminal     device each time a fixed period of time elapses, and the portable     terminal device is able to move between the plurality of wireless access     technologies that have already been registered, without conducting new     position registration processing. At this time, if there is a possibility     of there being a difference in ISR states (activated or not activated)     between the portable terminal device and the network, the portable     terminal device ignores any instructions issued by the network for ISR to     be enabled in the portable terminal device.</t>
  </si>
  <si>
    <t>US10523661</t>
  </si>
  <si>
    <t>H04W 12/003 (20190101); H04W 12/08 (20130101); H04W 48/14 (20130101); H04L 63/083 (20130101); H04W 12/06 (20130101); H04W 84/12 (20130101); H04W 12/00522 (20190101)</t>
  </si>
  <si>
    <t>US10515537</t>
  </si>
  <si>
    <t>Systems and methods for monitoring on-route transportations</t>
  </si>
  <si>
    <t>16/167685</t>
  </si>
  <si>
    <t>Beibei Zhang, Xu He, Chao Tang, Zhaoxue Wu</t>
  </si>
  <si>
    <t>G08G 1/205 (20130101); G06Q 50/265 (20130101); G08G 1/005 (20130101); G08G 1/09685 (20130101); H04W 4/44 (20180201); G08G 1/0969 (20130101); G08G 1/096883 (20130101); G08G 1/096811 (20130101); H04W 4/90 (20180201); H04W 4/024 (20180201); G08B 21/02 (20130101); H04W 4/029 (20180201); G06F 3/0484 (20130101); G08B 25/10 (20130101); G08B 25/016 (20130101); G08B 25/08 (20130101); G06F 3/017 (20130101); H04L 29/08 (20130101); G01C 21/3415 (20130101)</t>
  </si>
  <si>
    <t>The present disclosure relates to a method and system for monitoring on     route transportations. The method includes obtaining a driving route of a     target vehicle; obtaining a reference position on the driving route away     from a first current position of the target vehicle; determining a second     current position of the target vehicle after a reference time;     determining a distance between the second current position and the     reference position is greater than a preset distance; and sending a     signal to a target terminal indicating that the target vehicle is     off-route.</t>
  </si>
  <si>
    <t>US10514237</t>
  </si>
  <si>
    <t>Public safety smart belt</t>
  </si>
  <si>
    <t>16/149057</t>
  </si>
  <si>
    <t>SAFE-T-ARM, LLC</t>
  </si>
  <si>
    <t>SAFE-T-ARM</t>
  </si>
  <si>
    <t>Robert Louis Piccioni</t>
  </si>
  <si>
    <t>A41D 1/005 (20130101); A45F 5/021 (20130101); A61B 5/6831 (20130101); B64C 39/024 (20130101); A61B 5/02438 (20130101); A61B 5/1112 (20130101); H04Q 9/00 (20130101); H02J 50/10 (20160201); H04B 1/385 (20130101); A41F 9/002 (20130101); F41C 33/046 (20130101); G01S 19/13 (20130101); G01L 5/0052 (20130101); F41C 33/029 (20130101); A61B 5/02055 (20130101); H04L 12/40045 (20130101); A45F 3/005 (20130101); A61B 5/0022 (20130101); A45F 5/02 (20130101); F41H 13/00 (20130101); A61B 5/0816 (20130101); B64C 2201/146 (20130101); H04B 2001/3855 (20130101); A42B 3/046 (20130101); A45F 2200/0516 (20130101); A45F 2200/0566 (20130101); H04Q 2209/40 (20130101); H02J 7/025 (20130101); A42B 1/006 (20130101); B64C 2201/126 (20130101); A41D 1/06 (20130101); A43B 3/0005 (20130101); A61B 5/021 (20130101); H04B 5/0037 (20130101); A45F 2200/0591 (20130101); B64C 2201/127 (20130101); A41B 1/08 (20130101); H04W 84/18 (20130101)</t>
  </si>
  <si>
    <t>A smart belt system worn by a person comprising an elongated belt     configured for removably coupling a plurality of devices, a GPS component     coupled to the belt configured to track the geo-location and movement of     the belt, a microprocessor coupled to the belt, logic instructions     executing by the microprocessor configured to monitor and regulate the     activities of the plurality of devices and geo-location and movement data     generated by the GPS component, a memory component configured for storing     the logic instructions and accessible by the microprocessor, a wireless     data communications system coupled to the belt configured to wirelessly     communicate with an external data communications system and the     microprocessor, a power and data bus disposed within the belt and     communicatively coupled to at least one of the plurality of devices, GPS     component, microprocessor, memory, wireless data communications systems,     and data storage component; and a data storage component coupled to the     belt and accessible by the microprocessor for storing activity data of at     least one of the plurality of devices and the geo-location and movement     data of the belt generated by the GPS component.</t>
  </si>
  <si>
    <t>US10508920</t>
  </si>
  <si>
    <t>Pedestrian dead reckoning position tracker</t>
  </si>
  <si>
    <t>14/532750</t>
  </si>
  <si>
    <t>XSENS HOLDING B.V.</t>
  </si>
  <si>
    <t>XSENS HOLDING</t>
  </si>
  <si>
    <t>Giovanni Bellusci, Jeroen D. Hol, Per Johan Slycke</t>
  </si>
  <si>
    <t>G01C 17/00 (20130101); G01C 21/165 (20130101); G01P 15/14 (20130101)</t>
  </si>
  <si>
    <t>In an embodiment, a method and system are provided for determining a     pedestrian position via dead reckoning on a portable device carried by     the pedestrian (or "user"). The device has at least a processor, a 3D     accelerometer, and a 3D gyroscope. The 3D accelerometer, and a 3D     gyroscope are sampled to calculate device orientation, and then 3D     accelerometer samples are gathered during a sensor time frame and an     average step frequency is calculated. The user's speed and direction of     movement are estimated and a device velocity is calculated relative to a     prior device velocity via dead-reckoning. The estimated device velocity     is corrected for drift and the pedestrian position is calculated based on     the corrected estimated current device velocity.</t>
  </si>
  <si>
    <t>US10477415</t>
  </si>
  <si>
    <t>15/349352</t>
  </si>
  <si>
    <t>H04W 8/18 (20130101); H04M 1/72522 (20130101); H04W 4/14 (20130101); H04W 24/02 (20130101); H04W 16/24 (20130101); H04M 1/72525 (20130101); H04W 88/08 (20130101); H04W 8/245 (20130101); H04W 52/36 (20130101); H04W 84/18 (20130101); H04W 76/50 (20180201); H04W 84/12 (20130101)</t>
  </si>
  <si>
    <t>US10476054</t>
  </si>
  <si>
    <t>Portable battery pack comprising a battery enclosed by a wearable and     replaceable pouch or skin</t>
  </si>
  <si>
    <t>A45C 13/10 (20130101); A45C 3/001 (20130101); A45C 11/00 (20130101); A41D 1/005 (20130101); H01M 2/26 (20130101); A45C 13/08 (20130101); A45C 13/36 (20130101); H01M 2/1061 (20130101); A41D 27/205 (20130101); H01M 2/1022 (20130101); A45F 5/02 (20130101); H01M 2220/30 (20130101); A45C 2013/306 (20130101); A45F 2005/023 (20130101)</t>
  </si>
  <si>
    <t>A portable battery pack comprising a battery enclosed by a wearable and     replaceable pouch or skin is disclosed, wherein the pouch or skin can be     provided in different colors and/or patterns. Further, the pouch or skin     can be MOLLE-compatible. The battery comprises a battery element housed     between a battery cover and a back plate, wherein the battery element,     battery cover, and back plate have a slight curvature or contour.     Further, the battery comprises flexible leads.</t>
  </si>
  <si>
    <t>US10469136</t>
  </si>
  <si>
    <t>Antenna system loaded in vehicle</t>
  </si>
  <si>
    <t>Yongkon Kim, Jongsun Park, Sunin Jeong</t>
  </si>
  <si>
    <t>H04B 7/0404 (20130101); H01Q 21/205 (20130101); H01Q 1/3275 (20130101); H01Q 21/28 (20130101); H01Q 1/325 (20130101); H01Q 21/065 (20130101); H01Q 21/29 (20130101); H01Q 1/002 (20130101); H04B 7/0617 (20130101); H01Q 25/00 (20130101); H01Q 9/0407 (20130101); H01Q 1/2283 (20130101); H01Q 25/04 (20130101); H01Q 1/521 (20130101)</t>
  </si>
  <si>
    <t>An antenna system loaded in a vehicle according to the present invention includes a first antenna system to perform beamforming by a plurality of first communication antenna elements disposed to transmit and receive a first signal according to a first communication system, and a second antenna system to perform a Multi Input Multi Output (MIMO) by a plurality of second communication antenna elements disposed to transmit and receive a second signal according to a second communication system, whereby a plurality of communication services can be provided through a flat vehicle antenna having beamforming array antennas capable of providing next generation communication services and MIMO antennas capable of providing existing mobile communication services.</t>
  </si>
  <si>
    <t>US10468755</t>
  </si>
  <si>
    <t>H04B 1/38 (20130101); H05K 7/12 (20130101); H01Q 21/28 (20130101); H05K 7/186 (20130101); H01Q 1/1221 (20130101); H04B 1/3888 (20130101); H01Q 1/1207 (20130101); H05K 5/023 (20130101); H05K 5/0239 (20130101); H01Q 1/243 (20130101); H05K 5/0247 (20130101); H05K 5/0221 (20130101); H01Q 1/24 (20130101); H04B 1/3822 (20130101); H01Q 1/2291 (20130101); H01Q 1/3275 (20130101); H01Q 1/42 (20130101)</t>
  </si>
  <si>
    <t>US10467909</t>
  </si>
  <si>
    <t>Automatic dependent surveillance broadcast system beacon and method</t>
  </si>
  <si>
    <t>14/990457</t>
  </si>
  <si>
    <t>FreeFlight Acquisition Corporation</t>
  </si>
  <si>
    <t>FREEFLIGHT ACQUISITION</t>
  </si>
  <si>
    <t>John  Debusk, William  Luetkemeyer</t>
  </si>
  <si>
    <t xml:space="preserve">G01S1/0428; G01S1/0428; G08G5/0013; G08G5/0013; G08G5/0026; G08G5/0026; G08G5/0056; G08G5/0086; G08G5/025; G08G5/025; G01S19/03; G01S19/13; G08G5/0056; G08G5/0078; G08G5/0086; </t>
  </si>
  <si>
    <t>A beacon system is disclosed. The beacon system includes a case that defines a compartment and a lid. Also, the beacon system includes a ground plane mount that is pivotally coupled to the case, a monopole antenna carried by the ground plane mount, and an ADS-B transmitter. In that regard, the ADS-B transmitter is disposed within the compartment and electrically coupled to the monopole antenna.</t>
  </si>
  <si>
    <t>US10461289</t>
  </si>
  <si>
    <t>A45C 13/10 (20130101); H01M 2/1066 (20130101); H01M 2/1061 (20130101); H01M 2/1016 (20130101); A41D 1/005 (20130101); A41D 27/205 (20130101); A41D 1/04 (20130101); A41D 13/015 (20130101); A45C 11/00 (20130101); A45C 13/36 (20130101); A41D 1/002 (20130101); A45C 3/001 (20130101); A45C 13/08 (20130101); A45F 5/02 (20130101); H01M 2220/30 (20130101); A45C 2013/306 (20130101); A45F 2005/023 (20130101)</t>
  </si>
  <si>
    <t>US10453327</t>
  </si>
  <si>
    <t>Apparatus and methods for geolocating an individual with respect to a     perimeter</t>
  </si>
  <si>
    <t>Yves Messier, Antonio Fama, Brian Miller, Francois Gervais, Jerome Baron, Patrick-Olivier Marquis</t>
  </si>
  <si>
    <t>G01S 19/16 (20130101); G01S 1/68 (20130101); G08B 21/0492 (20130101); G08B 25/016 (20130101); G08B 21/0277 (20130101); G01S 5/0027 (20130101); G06K 19/07762 (20130101); G01S 19/10 (20130101); H04W 4/021 (20130101); G01S 19/48 (20130101); G08B 21/0286 (20130101); H01Q 1/273 (20130101); H01Q 1/40 (20130101); G08B 21/0461 (20130101); G01S 19/34 (20130101); H04B 1/385 (20130101); G01S 19/17 (20130101); G08B 21/043 (20130101); G08B 21/0261 (20130101); G08B 21/0211 (20130101); G08B 21/0446 (20130101); G08B 21/0225 (20130101); Y02D 70/164 (20180101); Y02D 70/40 (20180101); Y02D 70/26 (20180101); G08B 21/0269 (20130101); G08B 21/0272 (20130101); Y02D 70/144 (20180101); Y02D 70/1222 (20180101); H04B 2001/3861 (20130101)</t>
  </si>
  <si>
    <t>US10439403</t>
  </si>
  <si>
    <t>Smart bag with display for charging a device</t>
  </si>
  <si>
    <t>H02J 7/35 (20130101); A45C 15/00 (20130101); A45C 11/00 (20130101); H02J 7/0054 (20130101); H02J 7/02 (20130101); A45F 3/04 (20130101); H02J 7/0008 (20130101); H02J 7/0052 (20130101); A45F 4/02 (20130101); A45C 3/00 (20130101); G06F 9/06 (20130101); H02J 7/0044 (20130101); A45F 2005/002 (20130101); H02J 2007/0062 (20130101); H02J 2007/0096 (20130101); A45C 2011/002 (20130101)</t>
  </si>
  <si>
    <t>US10439295</t>
  </si>
  <si>
    <t>Vehicle borne radio coverage system and method</t>
  </si>
  <si>
    <t>H01Q 9/30 (20130101); H01Q 19/30 (20130101)</t>
  </si>
  <si>
    <t>US10425133</t>
  </si>
  <si>
    <t>Extended range wireless inter-networking system and device</t>
  </si>
  <si>
    <t>US10416268</t>
  </si>
  <si>
    <t>Multipolarized vector sensor array antenna system for search and rescue     applications</t>
  </si>
  <si>
    <t>Alan J. Fenn, Beijia Zhang, Peter T. Hurst, Kenneth E. Kolodziej, Larry L. Retherford, Christian D. Austin</t>
  </si>
  <si>
    <t>H01Q 7/00 (20130101); G01S 3/36 (20130101); H01Q 25/02 (20130101); G01S 3/32 (20130101); G01S 3/14 (20130101); H01Q 3/40 (20130101); G01S 3/043 (20130101); G01S 3/30 (20130101)</t>
  </si>
  <si>
    <t>The present disclosure is directed towards direction finding (DF) systems     that can detect and locals a radio frequency (RF) signal (e.g. an     emergency beacon) is two dimensions (i.e., azimuth and elevation). In one     embodiment, a DF system comprises an array of multipolarized loop     antennas coupled to a beamformer which provides monopole, dipole, and     loop antenna element modal signals. The DF system may also comprise a     multi-channel digital receiver system coupled to the beamformer. The     multi-channel digital receiver system is configured to receive modal     signals provided thereto from the beamformer which can be used for     accurate two-dimensional geolocation of RF signals including, but not     limited to, location of RF emergency beacon sources.</t>
  </si>
  <si>
    <t>US10382602</t>
  </si>
  <si>
    <t>H04M 1/21 (20130101); A45F 3/04 (20130101); H04M 1/0249 (20130101); H04M 1/026 (20130101); H04M 2001/0204 (20130101); A45F 2003/003 (20130101)</t>
  </si>
  <si>
    <t>US10382393</t>
  </si>
  <si>
    <t>15/680847</t>
  </si>
  <si>
    <t>H04L 45/74 (20130101); H04W 8/06 (20130101); H04W 84/005 (20130101); H04W 28/0289 (20130101); H04L 61/2592 (20130101); H04W 92/16 (20130101); H04W 92/24 (20130101)</t>
  </si>
  <si>
    <t>US10381714</t>
  </si>
  <si>
    <t>16/358912</t>
  </si>
  <si>
    <t>H05K 5/0247 (20130101); H05K 5/023 (20130101); H04B 1/38 (20130101); H01Q 21/28 (20130101); H05K 5/0239 (20130101); H01Q 1/243 (20130101); H05K 5/0221 (20130101); H05K 7/12 (20130101); H05K 7/186 (20130101); H01Q 1/2291 (20130101); H01Q 1/1207 (20130101)</t>
  </si>
  <si>
    <t>A data communications apparatus including a case. A power supply is     secured inside the case. A router device is secured inside the case, the     router device selectively receiving power from the power supply. The     router device includes at least one cellular gateway for wide area     network communication as well as being configured to enable at least one     wireless network for local area network communication. An antenna array     is in electrical communication with the router device, the antenna array     including at least two cellular antennas and at least two wireless     networking antennas. The first pair of cellular antennas are configured     to support multiple input multiple output applications for the at least     one cellular gateway, and the at least two wireless networking antennas     are configured to support multiple input multiple output applications for     the at least one wireless network.</t>
  </si>
  <si>
    <t>US10376032</t>
  </si>
  <si>
    <t>15/928219</t>
  </si>
  <si>
    <t>A45C 13/20 (20130101); G07C 9/00563 (20130101); E05B 73/0005 (20130101); E05G 1/08 (20130101); E05B 73/0011 (20130101); A45C 13/18 (20130101); E05B 47/0012 (20130101); A47B 81/00 (20130101); A45F 3/04 (20130101); G07C 9/00111 (20130101); E05B 65/0075 (20130101); G07C 9/00182 (20130101); E05B 73/00 (20130101); G07C 9/00071 (20130101); F41C 33/06 (20130101); E05B 65/52 (20130101); A47B 81/005 (20130101); E05B 2047/0094 (20130101); G07C 2009/00769 (20130101); E05B 2047/0023 (20130101); A47B 2220/0091 (20130101); E05B 37/02 (20130101)</t>
  </si>
  <si>
    <t>A system for providing securement of a plurality of secure portable     encasements including one or more encasements each configured to engage,     and subsequently disengage, inseparable interaction with a common docking     unit; and one or more common docking units.</t>
  </si>
  <si>
    <t>US10348114</t>
  </si>
  <si>
    <t>Portable electrical energy storage and power processing device</t>
  </si>
  <si>
    <t>Wally E. Rippel, Michael Gould, Brian Jensen</t>
  </si>
  <si>
    <t>H02J 7/0055 (20130101); H02J 7/0065 (20130101); H02J 7/0047 (20130101); H02J 2007/0059 (20130101)</t>
  </si>
  <si>
    <t>US10333315</t>
  </si>
  <si>
    <t>G06F 1/263 (20130101); H02J 7/0021 (20130101); H02J 7/0027 (20130101); H02J 7/02 (20130101); H02J 4/00 (20130101); H02M 5/04 (20130101); H02M 3/04 (20130101); H02J 7/0068 (20130101); H02J 1/00 (20130101); G06F 1/3287 (20130101); G06F 1/266 (20130101); H02M 7/04 (20130101); H02J 5/00 (20130101); H02J 7/0004 (20130101); Y10T 307/258 (20150401); Y10T 307/406 (20150401); H02J 2007/0001 (20130101); G06F 13/4022 (20130101); Y02D 10/14 (20180101); Y02D 10/151 (20180101); Y10T 307/461 (20150401); Y10T 307/313 (20150401); Y10T 307/76 (20150401)</t>
  </si>
  <si>
    <t>US10312715</t>
  </si>
  <si>
    <t>Systems and methods for wireless power charging</t>
  </si>
  <si>
    <t>Michael A. Leabman</t>
  </si>
  <si>
    <t>H02J 7/025 (20130101); H04B 5/0037 (20130101); H02J 7/045 (20130101); H02J 7/027 (20130101); G06K 9/18 (20130101); G06K 9/52 (20130101); G06T 7/60 (20130101); H04N 5/04 (20130101); H04N 7/18 (20130101); H02J 50/90 (20160201); H02J 50/80 (20160201); H02J 50/60 (20160201); H02J 2007/0096 (20130101)</t>
  </si>
  <si>
    <t>US10309832</t>
  </si>
  <si>
    <t>G01J 3/44 (20130101); G01J 3/0272 (20130101); G01J 3/0264 (20130101); G01N 21/65 (20130101); G01J 3/0218 (20130101); G01J 3/027 (20130101); G08B 5/36 (20130101); G01N 2201/0221 (20130101)</t>
  </si>
  <si>
    <t>US10305174</t>
  </si>
  <si>
    <t>Dual-polarized, omni-directional, and high-efficiency wearable antenna     array</t>
  </si>
  <si>
    <t>Colan Graeme Matthew Ryan, Hungyu David Yang</t>
  </si>
  <si>
    <t>H01Q 1/273 (20130101); H01Q 9/32 (20130101); H01Q 21/205 (20130101); H01Q 21/24 (20130101); H01Q 21/28 (20130101)</t>
  </si>
  <si>
    <t>US10285477</t>
  </si>
  <si>
    <t>Solar power conversion kit for umbrella</t>
  </si>
  <si>
    <t>Sarah Akin, David Johnson</t>
  </si>
  <si>
    <t>H02S 30/20 (20141201); H02J 7/35 (20130101); H02J 7/0027 (20130101); A45B 23/00 (20130101); A45B 3/00 (20130101); H01L 31/042 (20130101); H02J 7/0052 (20130101); H02J 50/12 (20160201); H02J 7/025 (20130101); A45B 25/02 (20130101); H02J 50/40 (20160201); H02J 50/80 (20160201); H02J 7/0045 (20130101); H02J 7/355 (20130101); B23P 15/26 (20130101); A45B 2025/003 (20130101); Y10T 29/4984 (20150115); A45B 2023/0037 (20130101); Y02E 10/50 (20130101); H02J 7/0047 (20130101); A45B 2200/1018 (20130101); H02J 2007/0062 (20130101); Y10T 29/49355 (20150115); A45B 2200/109 (20130101); Y10T 29/49004 (20150115); A45B 2200/1063 (20130101); A45B 2200/1027 (20130101); Y10T 29/49169 (20150115); A45B 2023/0012 (20130101); H02J 2007/0001 (20130101); Y10T 29/49117 (20150115); A45B 2200/1054 (20130101)</t>
  </si>
  <si>
    <t>US10284251</t>
  </si>
  <si>
    <t>H04B 1/44 (20130101); H02J 7/007 (20130101); H02J 7/0014 (20130101); H03F 3/24 (20130101); H04B 1/0475 (20130101); H04B 1/1036 (20130101); H04B 1/40 (20130101); H04W 52/028 (20130101); H04W 52/0277 (20130101); G01D 4/004 (20130101); Y04S 20/42 (20130101); H02J 7/345 (20130101); H04B 2001/0408 (20130101); H04W 84/18 (20130101); H04W 88/02 (20130101); H04W 88/06 (20130101); H04W 88/16 (20130101); Y02B 90/242 (20130101); Y02B 90/246 (20130101); Y04S 20/322 (20130101)</t>
  </si>
  <si>
    <t>US10277335</t>
  </si>
  <si>
    <t>H04W 4/90 (20180201); H04B 13/02 (20130101); H04L 27/2602 (20130101); H01Q 7/00 (20130101); H04B 1/38 (20130101); H04B 1/3827 (20130101); H04B 1/40 (20130101); H04L 27/26 (20130101); H04L 25/4902 (20130101); H04B 1/034 (20130101); H01Q 1/2291 (20130101); H01Q 1/273 (20130101)</t>
  </si>
  <si>
    <t>US10263432</t>
  </si>
  <si>
    <t>Multi-mode transmitter with an antenna array for delivering wireless power     and providing Wi-Fi access</t>
  </si>
  <si>
    <t>14/585484</t>
  </si>
  <si>
    <t>H02J 50/20 (20160201); H04W 84/12 (20130101); H02J 7/025 (20130101); H02J 50/80 (20160201); H02J 50/40 (20160201)</t>
  </si>
  <si>
    <t>A method for wireless power transmission is provided. The method     comprising emitting, by a first antenna element of a transmitter, a first     signal comprising a plurality of wireless power waves establishing a     pocket of energy. The method further comprising emitting, by a second     antenna element of the transmitter, a second signal different from the     first signal. The second signal provides Wi-Fi access.</t>
  </si>
  <si>
    <t>US10256890</t>
  </si>
  <si>
    <t>Adaptive management of antennas in the network of moving things</t>
  </si>
  <si>
    <t>Filipe Manuel Almeida Neves, Francisco Jose Antunes Marques Esteves</t>
  </si>
  <si>
    <t>H04B 7/0686 (20130101); H04W 24/02 (20130101); H04W 48/20 (20130101); H04W 88/08 (20130101); H04W 16/18 (20130101); H04W 84/005 (20130101)</t>
  </si>
  <si>
    <t>US10249938</t>
  </si>
  <si>
    <t>H01Q 1/1207 (20130101); H01Q 1/243 (20130101); H05K 7/12 (20130101); H05K 5/023 (20130101); H04B 1/38 (20130101); H05K 7/186 (20130101); H01Q 1/2291 (20130101); H05K 5/0247 (20130101); H05K 5/0221 (20130101); H01Q 21/28 (20130101); H05K 5/0239 (20130101)</t>
  </si>
  <si>
    <t>US10244405</t>
  </si>
  <si>
    <t>15/699837</t>
  </si>
  <si>
    <t>US10243273</t>
  </si>
  <si>
    <t>16/027084</t>
  </si>
  <si>
    <t>US10243261</t>
  </si>
  <si>
    <t>H04B 1/3888 (20130101); H05K 5/023 (20130101); H05K 5/0239 (20130101); H05K 7/186 (20130101); H01Q 1/1207 (20130101); H05K 7/12 (20130101); H01Q 1/2291 (20130101); H05K 5/0221 (20130101); H04B 1/38 (20130101); H01Q 1/243 (20130101); H01Q 21/28 (20130101); H05K 5/0247 (20130101)</t>
  </si>
  <si>
    <t>A data communications apparatus is disclosed including a case having a     base and a lid connectable to the base, the lid movable with respect to     the base between an open position and a closed position. A power supply     can be positioned inside the case. A router device can be positioned     inside the case, the router device including a plurality of external     ports. An antenna array can be positioned inside the case, the antenna     array in electrical communication with the router device. An access port     can be defined in the case and aligned with the external ports of the     router device such that the external ports are accessible through the     access port. Electronic devices can be connected to the external ports of     the router device from an exterior of the case through the access port.</t>
  </si>
  <si>
    <t>US10199850</t>
  </si>
  <si>
    <t>Systems and methods for wirelessly transmitting power from a transmitter     to a receiver by determining refined locations of the receiver in a     segmented transmission field associated with the transmitter</t>
  </si>
  <si>
    <t>Michael Leabman</t>
  </si>
  <si>
    <t>H02J 7/025 (20130101); H04B 5/0037 (20130101); H02J 50/20 (20160201); H02J 50/90 (20160201); H02J 50/80 (20160201); H02J 50/40 (20160201); H04B 5/0031 (20130101)</t>
  </si>
  <si>
    <t>US10187433</t>
  </si>
  <si>
    <t>Methods and systems for dynamic adjustment of session parameters for effective video collaboration among heterogenous devices</t>
  </si>
  <si>
    <t>15/583710</t>
  </si>
  <si>
    <t>SWYME IP BV</t>
  </si>
  <si>
    <t>SWYME</t>
  </si>
  <si>
    <t>Paolo Maistri, Stefano Migliorisi, Giannantonio Costermani, Jeffrey Samuel Urdan</t>
  </si>
  <si>
    <t>H04L 65/1083 (20130101); H04L 41/147 (20130101); H04L 47/125 (20130101); H04L 65/1069 (20130101); H04L 65/403 (20130101); H04N 7/148 (20130101); H04N 7/152 (20130101); H04W 28/02 (20130101); H04L 69/14 (20130101); H04L 67/12 (20130101); G06Q 10/101 (20130101); G16H 80/00 (20180101)</t>
  </si>
  <si>
    <t>Methods and systems for mobile video communications may include using a wireless network for video communications when a wired network is unavailable by providing portable mobile communications equipment to enable video communications and collaborations over a cellular, satellite or other wireless network. The methods and systems may use two or more network connections to transmit data packets for the video communications or collaborations. In addition, the methods and systems may use machine learning and predictive switching technology to determine the data paths for transmission of the data for the video communications or collaborations.</t>
  </si>
  <si>
    <t>US10187128</t>
  </si>
  <si>
    <t>Thomas R. Bilotta, Edward C. Lin, Steven A. Morley, Robert E. LaRose</t>
  </si>
  <si>
    <t>H04L 5/14 (20130101); H04B 7/0413 (20130101); H04W 16/14 (20130101); H04W 16/26 (20130101); H04W 88/06 (20130101); H04W 84/12 (20130101); H04W 84/042 (20130101); H04W 92/02 (20130101); H04B 7/0825 (20130101)</t>
  </si>
  <si>
    <t>US10186886</t>
  </si>
  <si>
    <t>H02J 7/0068 (20130101); H02M 7/797 (20130101); H02J 7/0055 (20130101); H02J 7/0065 (20130101); H02J 7/0047 (20130101); H02J 2007/0059 (20130101)</t>
  </si>
  <si>
    <t>US10186759</t>
  </si>
  <si>
    <t>H05K 5/0239 (20130101); H05K 7/186 (20130101); H01Q 1/2291 (20130101); H01Q 21/28 (20130101); H05K 7/12 (20130101); H05K 5/0247 (20130101); H01Q 1/243 (20130101); H05K 5/023 (20130101); H05K 5/0221 (20130101); H01Q 1/1207 (20130101); H04B 1/38 (20130101)</t>
  </si>
  <si>
    <t>US10158259</t>
  </si>
  <si>
    <t>Systems and methods for identifying receivers in a transmission field by     transmitting exploratory power waves towards different segments of a     transmission field</t>
  </si>
  <si>
    <t>14/856219</t>
  </si>
  <si>
    <t>H04B 5/0037 (20130101); H02J 50/80 (20160201); H02J 50/20 (20160201); H02J 50/60 (20160201); H02J 50/90 (20160201); H02J 7/025 (20130101); H02J 50/40 (20160201)</t>
  </si>
  <si>
    <t>An example method includes: before receiving any communications from any     device within a transmission field of a far-field transmitter,     transmitting, by the transmitter, exploratory power waves towards     different segments of the transmission field. The method also includes:     receiving, by the transmitter and from a receiver, a communication signal     including one or more parameters: (i) identifying a first location of the     receiver within a segment of the different segments at which an     exploratory power wave was received and (ii) providing feedback regarding     the exploratory power wave. The method further includes, upon receiving     the parameters: storing, by the transmitter, the one or more parameters     into a mapping memory; and determining, based on the first location and     the feedback, a set of characteristics for a plurality of power waves.     The method additionally includes: transmitting, by the transmitter, the     plurality of power waves with the determined set of characteristics to     the first location.</t>
  </si>
  <si>
    <t>US10153660</t>
  </si>
  <si>
    <t>Systems and methods for preconfiguring sensor data for wireless charging     systems</t>
  </si>
  <si>
    <t>14/861350</t>
  </si>
  <si>
    <t>H02J 50/80 (20160201); H02J 50/20 (20160201); H02J 50/40 (20160201); H02J 7/025 (20130101)</t>
  </si>
  <si>
    <t>An example method disclosed herein includes: determining, by a     transmitter, whether to transmit one or more power waves to a receiver     location along a transmission path by comparing a receiver location and a     path of the one or more power waves with a stored location of an entity     to be excluded from receipt of power waves. The method also includes:     measuring, by one or more sensors of the transmitter, power levels in a     transmission field of the transmitter, the transmission field including     the receiver location and the entity; and upon determining that (i) the     entity to be excluded is not at the receiver location and not in the path     and (ii) a measured power level at the receiver location does not exceed     one or more permissible power levels for safe wireless power     transmission, transmitting, by the transmitter, the power waves along the     path to converge at the receiver location.</t>
  </si>
  <si>
    <t>US10135295</t>
  </si>
  <si>
    <t>Systems and methods for nullifying energy levels for wireless power     transmission waves</t>
  </si>
  <si>
    <t>H02J 50/60 (20160201); H02J 7/025 (20130101); H02J 50/80 (20160201); H02J 50/90 (20160201)</t>
  </si>
  <si>
    <t>Systems and methods to generate and transmit power waves are disclosed     herein. An example method includes: receiving, by a transmitter, from one     or more sensors, location data about a location associated with one or     more objects within a transmission field of the transmitter. The one or     more sensors may include a proximity sensor configured to send the     location data of the one or more objects, and the one or more objects are     associated with a maximum permissible exposure (MPE) level. The method     also includes: transmitting, by the transmitter, one or more power waves     to converge to form a pocket of energy at a location of an electronic     device; and transmitting, by the transmitter, one or more power waves to     converge destructively to form a null space at the location of the one or     more objects, the null space having a power density level that is below     the MPE level.</t>
  </si>
  <si>
    <t>US10135294</t>
  </si>
  <si>
    <t>Systems and methods for preconfiguring transmission devices for power wave     transmissions based on location data of one or more receivers</t>
  </si>
  <si>
    <t>14/860858</t>
  </si>
  <si>
    <t>H02J 50/27 (20160201); H02J 50/80 (20160201); H02J 50/40 (20160201); H02J 7/025 (20130101)</t>
  </si>
  <si>
    <t>Embodiments disclosed herein may generate and transmit power waves that,     as result of their physical waveform characteristics (e.g., frequency,     amplitude, phase, gain, direction), converge at a predetermined location     in a transmission field to generate a pocket of energy. An example method     disclosed herein includes: receiving, by a transmitter, from a tagging     device, a first device tag containing first data indicating a first     location of a first receiver. The method also includes: determining, by     the transmitter, one or more characteristics of one or more first power     waves to be transmitted to the first receiver based upon the first data     indicating the first location as contained in the first device tag. The     method additionally includes: transmitting, by the transmitter, the one     or more first power waves having the one or more characteristics to the     first location indicated by the first device tag.</t>
  </si>
  <si>
    <t>US10128695</t>
  </si>
  <si>
    <t>Hybrid Wi-Fi and power router transmitter</t>
  </si>
  <si>
    <t>H04B 1/04 (20130101); H02J 50/80 (20160201); H04B 3/54 (20130101); H02J 50/90 (20160201); H02J 50/23 (20160201); H02J 50/40 (20160201); H02J 7/025 (20130101); H02J 50/00 (20160201)</t>
  </si>
  <si>
    <t>The present disclosure provides a method of wireless transmission of     power and Wi-Fi signals to electronic devices. The method includes     identifying a first receiver that is associated with a first electronic     device that requires power and a second receiver that is associated with     a second electronic device that requires Wi-Fi signals, generating RF     signals at least in part by converting power provided by a power source,     where the transmitter includes a first set of antennas for transmitting     RF signals and a second set of antennas for transmitting Wi-Fi signals,     and transmitting, to the first receiver, the RF signals using at least     two antennas of the first set of antennas connected to the transmitter.     The method further includes, while transmitting the RF signals using the     at least two antennas of the first set of antennas, simultaneously     transmitting, to the second receiver, Wi-Fi signals using the second set     of antennas.</t>
  </si>
  <si>
    <t>US10128686</t>
  </si>
  <si>
    <t>Systems and methods for identifying receiver locations using sensor     technologies</t>
  </si>
  <si>
    <t>14/860843</t>
  </si>
  <si>
    <t>H02J 50/20 (20160201); H02J 50/40 (20160201); H02J 50/80 (20160201); H04B 5/0037 (20130101); H04N 5/63 (20130101); H02J 7/025 (20130101); H04B 5/00 (20130101); H02J 5/00 (20130101)</t>
  </si>
  <si>
    <t>An example method disclosed herein includes: acquiring, by at least one     sensor in communication with a transmitter, data indicating a location of     an electrical apparatus within a transmission field of the transmitter.     The transmitter is in communication with a mapping memory that stores     information that identifies a set of receivers that has each been     designated to receive power waves from the transmitter. The method also     includes: determining, by the transmitter, using the mapping memory and     the data indicating the location of the electrical apparatus, whether the     electrical apparatus is a respective receiver of the set of receivers.     The method further includes: transmitting, by the transmitter, power     waves to the electrical apparatus upon determining that the electrical     apparatus is the respective receiver, wherein the power waves are     transmitted to converge in a three dimensional space to form one or more     pockets of energy at the location associated with the electrical     apparatus.</t>
  </si>
  <si>
    <t>US10116038</t>
  </si>
  <si>
    <t>Mobile hotspot system</t>
  </si>
  <si>
    <t>Ai Mitsufuji, Kevin Gerard Brennan, Yuk Lun Li, Nicole Winston, Nolan Eng, Paul R. McDonough</t>
  </si>
  <si>
    <t>H01Q 1/241 (20130101); H01Q 1/246 (20130101); H05K 5/0021 (20130101); H01Q 1/48 (20130101); H04W 84/18 (20130101); H04L 67/12 (20130101)</t>
  </si>
  <si>
    <t>US10109927</t>
  </si>
  <si>
    <t>In-building communications hybrid system apparatus and method</t>
  </si>
  <si>
    <t>US10104711</t>
  </si>
  <si>
    <t>Mobile router with session proxy</t>
  </si>
  <si>
    <t>15/437847</t>
  </si>
  <si>
    <t>Douglas S Moeller</t>
  </si>
  <si>
    <t>A non-transitory computer readable medium with computer executable instructions stored thereon executed by a processor in a vehicle comprising a wireless local area network interface to communicate with a mobile device via a local wireless network and a backhaul network interface to wirelessly communicate with a backhaul network and to establish a layer 2 communication link and a layer 3 communication link to provide a link monitoring communication method. The method comprises: monitoring the layer 2 communication link and the layer 3 communication links over the backhaul network interface; reestablishing communications via the layer 2 communication link and the layer 3 communication link when a communications failure via the layer 2 communications link is detected; and reestablishing communications via the layer 3 communication link when a communications failure via only the layer 3 communication link is detected.</t>
  </si>
  <si>
    <t>US10050470</t>
  </si>
  <si>
    <t>Wireless power transmission device having antennas oriented in three dimensions</t>
  </si>
  <si>
    <t>14/861443</t>
  </si>
  <si>
    <t>H02J 17/00 (20130101); H02J 5/005 (20130101)</t>
  </si>
  <si>
    <t>US10033222</t>
  </si>
  <si>
    <t>Systems and methods for determining and generating a waveform for wireless power transmission waves</t>
  </si>
  <si>
    <t>14/860963</t>
  </si>
  <si>
    <t>H02J 17/00 (20130101)</t>
  </si>
  <si>
    <t>US10027168</t>
  </si>
  <si>
    <t>Systems and methods for generating and transmitting wireless power transmission waves using antennas having a spacing that is selected by the transmitter</t>
  </si>
  <si>
    <t>H02J 50/00 (20160201); G01S 1/68 (20130101); H02J 7/025 (20130101); H02J 50/20 (20160201); H02J 50/80 (20160201); H02J 50/90 (20160201); H02J 50/40 (20160201); H02J 50/12 (20160201); H02J 50/10 (20160201)</t>
  </si>
  <si>
    <t>US10021619</t>
  </si>
  <si>
    <t>15/269481</t>
  </si>
  <si>
    <t>Pamela Schemagin, Vincent Charles Graffagnino, Jouko Rytilahti, Ian Gibbs, James McGovern, John Green, Kyle Collins</t>
  </si>
  <si>
    <t>H04W 76/10 (20180201); H04W 36/32 (20130101); H04W 4/023 (20130101); H04W 36/14 (20130101); H04W 8/26 (20130101); H04W 84/042 (20130101); H04W 84/005 (20130101)</t>
  </si>
  <si>
    <t>Multiple mobile cellular network (MCN) communication systems can be networked together to form a network of MCN communication systems (NOM). Each MCN communication system within the NOM can operate as an independent cellular network to provide communications between user equipment within a covered area. When a UE in one MCN of the NOM moves into a different MCN of the NOM, the corresponding MCN communication systems can handover the UE. The UE can also be handed over between MCN communication systems when the MCN communication systems move.</t>
  </si>
  <si>
    <t>US10020872</t>
  </si>
  <si>
    <t>UAV for cellular communication</t>
  </si>
  <si>
    <t>Sean Patrick Murphy</t>
  </si>
  <si>
    <t>H04B 7/18504 (20130101); B64C 39/024 (20130101); H04B 7/18571 (20130101); H04W 64/00 (20130101); H04W 76/11 (20180201); H04W 12/06 (20130101); B64C 2201/146 (20130101); B64C 2201/122 (20130101)</t>
  </si>
  <si>
    <t>US10020678</t>
  </si>
  <si>
    <t>Systems and methods for selecting antennas to generate and transmit power transmission waves</t>
  </si>
  <si>
    <t>14/861397</t>
  </si>
  <si>
    <t>Systems and methods to generate and transmit power waves are disclosed herein. An example method includes: transmitting, by one or more transmitters, one or more power waves to provide power. A first antenna of a first antenna array of one or more antenna arrays of a respective transmitter of the one or more transmitters is located at a distance from a second antenna of a second antenna array of the one or more antenna arrays such that power waves transmitted by the first antenna and the second antenna are directed to form a pocket of energy to provide power to the targeted electronic device. The respective transmitter determines the distance between the first and second antennas: based upon one or more parameters received in a communication signal from the targeted electronic device, and to allow a desired mutual coupling effect between the first and second antennas.</t>
  </si>
  <si>
    <t>US10020585</t>
  </si>
  <si>
    <t>15/640219</t>
  </si>
  <si>
    <t>H01Q 11/086 (20130101); H01Q 1/273 (20130101); H01Q 1/1235 (20130101)</t>
  </si>
  <si>
    <t>Embodiments of a wide band multi-polarization antenna system are described, which can be attached to the back or front of a soldier's vest or backpack. The antenna system can allow for release of pre-shaped integral radiating elements that spring into a geometric configuration suitable for circular polarization radiation or linear polarization over a desired band of frequencies. The antenna system can provide, when collapsed, linear polarized line-of sight capability over a wide band of frequencies. In a collapsed low-profile state, the antenna system can remain on the soldier, but out of the way for maneuvering.</t>
  </si>
  <si>
    <t>US10008875</t>
  </si>
  <si>
    <t>Wireless power transmitter configured to transmit power waves to a predicted location of a moving wireless power receiver</t>
  </si>
  <si>
    <t>14/856317</t>
  </si>
  <si>
    <t>H02J 7/025 (20130101); H04B 5/0037 (20130101); H02J 7/045 (20130101); H02J 7/027 (20130101); H02J 2007/0096 (20130101)</t>
  </si>
  <si>
    <t>US10003124</t>
  </si>
  <si>
    <t>H01Q 1/243 (20130101); H01Q 1/1207 (20130101); H01Q 1/2291 (20130101); H01Q 21/28 (20130101); H04B 1/38 (20130101); H05K 5/023 (20130101); H05K 5/0221 (20130101); H05K 5/0239 (20130101); H05K 5/0247 (20130101); H05K 7/12 (20130101); H05K 7/186 (20130101)</t>
  </si>
</sst>
</file>

<file path=xl/styles.xml><?xml version="1.0" encoding="utf-8"?>
<styleSheet xmlns="http://schemas.openxmlformats.org/spreadsheetml/2006/main">
  <numFmts count="1">
    <numFmt numFmtId="164" formatCode="yyyy-mm-dd"/>
  </numFmts>
  <fonts count="3">
    <font>
      <sz val="11.0"/>
      <color indexed="8"/>
      <name val="Calibri"/>
      <family val="2"/>
      <scheme val="minor"/>
    </font>
    <font>
      <name val="Calibri"/>
      <sz val="11.0"/>
      <b val="true"/>
    </font>
    <font>
      <name val="Calibri"/>
      <sz val="11.0"/>
      <color rgb="0000FF"/>
      <u val="single"/>
    </font>
  </fonts>
  <fills count="2">
    <fill>
      <patternFill patternType="none"/>
    </fill>
    <fill>
      <patternFill patternType="darkGray"/>
    </fill>
  </fills>
  <borders count="1">
    <border>
      <left/>
      <right/>
      <top/>
      <bottom/>
      <diagonal/>
    </border>
  </borders>
  <cellStyleXfs count="1">
    <xf numFmtId="0" fontId="0" fillId="0" borderId="0"/>
  </cellStyleXfs>
  <cellXfs count="4">
    <xf numFmtId="0" fontId="0" fillId="0" borderId="0" xfId="0"/>
    <xf numFmtId="0" fontId="1" fillId="0" borderId="0" xfId="0" applyFont="true"/>
    <xf numFmtId="0" fontId="2" fillId="0" borderId="0" xfId="0" applyFont="true"/>
    <xf numFmtId="164" fontId="0" fillId="0" borderId="0" xfId="0" applyNumberFormat="true"/>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V567"/>
  <sheetViews>
    <sheetView workbookViewId="0" tabSelected="true"/>
  </sheetViews>
  <sheetFormatPr defaultRowHeight="15.0"/>
  <cols>
    <col min="1" max="1" width="20.2890625" customWidth="true" bestFit="true"/>
    <col min="2" max="2" width="16.37890625" customWidth="true" bestFit="true"/>
    <col min="3" max="3" width="26.5703125" customWidth="true" bestFit="true"/>
    <col min="4" max="4" width="24.55078125" customWidth="true" bestFit="true"/>
    <col min="5" max="5" width="255.0" customWidth="true" bestFit="true"/>
    <col min="6" max="6" width="13.3515625" customWidth="true" bestFit="true"/>
    <col min="7" max="7" width="15.625" customWidth="true" bestFit="true"/>
    <col min="8" max="8" width="11.83203125" customWidth="true" bestFit="true"/>
    <col min="9" max="9" width="13.10546875" customWidth="true" bestFit="true"/>
    <col min="10" max="10" width="17.86328125" customWidth="true" bestFit="true"/>
    <col min="11" max="11" width="10.8359375" customWidth="true" bestFit="true"/>
    <col min="12" max="12" width="16.1328125" customWidth="true" bestFit="true"/>
    <col min="13" max="13" width="11.24609375" customWidth="true" bestFit="true"/>
    <col min="14" max="14" width="102.203125" customWidth="true" bestFit="true"/>
    <col min="15" max="15" width="66.4453125" customWidth="true" bestFit="true"/>
    <col min="16" max="16" width="255.0" customWidth="true" bestFit="true"/>
    <col min="17" max="17" width="12.45703125" customWidth="true" bestFit="true"/>
    <col min="18" max="18" width="24.3984375" customWidth="true" bestFit="true"/>
    <col min="19" max="19" width="22.06640625" customWidth="true" bestFit="true"/>
    <col min="20" max="20" width="19.3828125" customWidth="true" bestFit="true"/>
    <col min="21" max="21" width="255.0" customWidth="true" bestFit="true"/>
    <col min="22" max="22" width="255.0" customWidth="true" bestFit="true"/>
  </cols>
  <sheetData>
    <row r="1" s="1" customFormat="true">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row>
    <row r="2">
      <c r="A2" t="s">
        <v>22</v>
      </c>
      <c r="B2" t="s">
        <v>23</v>
      </c>
      <c r="C2" t="s">
        <v>24</v>
      </c>
      <c r="D2" t="s">
        <v>25</v>
      </c>
      <c r="E2" t="s">
        <v>26</v>
      </c>
      <c r="F2" s="2" t="n">
        <f>HYPERLINK("https://patents.google.com/patent/US20210314767","Google")</f>
        <v>0.0</v>
      </c>
      <c r="G2" s="2" t="n">
        <f>HYPERLINK("https://patentcenter.uspto.gov/applications/17348205","Patent Center")</f>
        <v>0.0</v>
      </c>
      <c r="H2" s="2" t="n">
        <f>HYPERLINK("https://worldwide.espacenet.com/patent/search?q=US20210314767","Espacenet")</f>
        <v>0.0</v>
      </c>
      <c r="I2" s="2" t="n">
        <f>HYPERLINK("https://ppubs.uspto.gov/pubwebapp/external.html?q=20210314767.pn.","USPTO")</f>
        <v>0.0</v>
      </c>
      <c r="J2" s="2" t="n">
        <f>HYPERLINK("https://image-ppubs.uspto.gov/dirsearch-public/print/downloadPdf/20210314767","USPTO PDF")</f>
        <v>0.0</v>
      </c>
      <c r="K2" s="2" t="n">
        <f>HYPERLINK("https://sectors.patentforecast.com/pmd/US20210314767","PMD")</f>
        <v>0.0</v>
      </c>
      <c r="L2" s="2" t="n">
        <f>HYPERLINK("https://globaldossier.uspto.gov/result/application/US/17348205/1","US20210314767")</f>
        <v>0.0</v>
      </c>
      <c r="M2" t="s">
        <v>27</v>
      </c>
      <c r="N2" t="s">
        <v>28</v>
      </c>
      <c r="O2" t="s">
        <v>29</v>
      </c>
      <c r="P2" t="s">
        <v>30</v>
      </c>
      <c r="Q2" s="3" t="n">
        <v>44362.0</v>
      </c>
      <c r="R2" s="3" t="n">
        <v>44476.0</v>
      </c>
      <c r="S2" s="3" t="n">
        <v>44478.05174174769</v>
      </c>
      <c r="T2" s="3" t="n">
        <v>44495.57487574074</v>
      </c>
      <c r="U2" t="s">
        <v>31</v>
      </c>
      <c r="V2" t="s">
        <v>32</v>
      </c>
    </row>
    <row r="3">
      <c r="A3" t="s">
        <v>22</v>
      </c>
      <c r="B3" t="s">
        <v>33</v>
      </c>
      <c r="C3" t="s">
        <v>24</v>
      </c>
      <c r="D3" t="s">
        <v>25</v>
      </c>
      <c r="E3" t="s">
        <v>34</v>
      </c>
      <c r="F3" s="2" t="n">
        <f>HYPERLINK("https://patents.google.com/patent/US20210307173","Google")</f>
        <v>0.0</v>
      </c>
      <c r="G3" s="2" t="n">
        <f>HYPERLINK("https://patentcenter.uspto.gov/applications/17249750","Patent Center")</f>
        <v>0.0</v>
      </c>
      <c r="H3" s="2" t="n">
        <f>HYPERLINK("https://worldwide.espacenet.com/patent/search?q=US20210307173","Espacenet")</f>
        <v>0.0</v>
      </c>
      <c r="I3" s="2" t="n">
        <f>HYPERLINK("https://ppubs.uspto.gov/pubwebapp/external.html?q=20210307173.pn.","USPTO")</f>
        <v>0.0</v>
      </c>
      <c r="J3" s="2" t="n">
        <f>HYPERLINK("https://image-ppubs.uspto.gov/dirsearch-public/print/downloadPdf/20210307173","USPTO PDF")</f>
        <v>0.0</v>
      </c>
      <c r="K3" s="2" t="n">
        <f>HYPERLINK("https://sectors.patentforecast.com/pmd/US20210307173","PMD")</f>
        <v>0.0</v>
      </c>
      <c r="L3" s="2" t="n">
        <f>HYPERLINK("https://globaldossier.uspto.gov/result/application/US/17249750/1","US20210307173")</f>
        <v>0.0</v>
      </c>
      <c r="M3" t="s">
        <v>35</v>
      </c>
      <c r="N3" t="s">
        <v>36</v>
      </c>
      <c r="O3" t="s">
        <v>37</v>
      </c>
      <c r="P3" t="s">
        <v>38</v>
      </c>
      <c r="Q3" s="3" t="n">
        <v>44266.0</v>
      </c>
      <c r="R3" s="3" t="n">
        <v>44469.0</v>
      </c>
      <c r="S3" s="3" t="n">
        <v>44470.922107453705</v>
      </c>
      <c r="T3" s="3" t="n">
        <v>44495.61418266204</v>
      </c>
      <c r="U3" t="s">
        <v>39</v>
      </c>
      <c r="V3" t="s">
        <v>40</v>
      </c>
    </row>
    <row r="4">
      <c r="A4" t="s">
        <v>22</v>
      </c>
      <c r="B4" t="s">
        <v>41</v>
      </c>
      <c r="C4" t="s">
        <v>42</v>
      </c>
      <c r="D4" t="s">
        <v>43</v>
      </c>
      <c r="E4" t="s">
        <v>44</v>
      </c>
      <c r="F4" s="2" t="n">
        <f>HYPERLINK("https://patents.google.com/patent/US20210306807","Google")</f>
        <v>0.0</v>
      </c>
      <c r="G4" s="2" t="n">
        <f>HYPERLINK("https://patentcenter.uspto.gov/applications/17214611","Patent Center")</f>
        <v>0.0</v>
      </c>
      <c r="H4" s="2" t="n">
        <f>HYPERLINK("https://worldwide.espacenet.com/patent/search?q=US20210306807","Espacenet")</f>
        <v>0.0</v>
      </c>
      <c r="I4" s="2" t="n">
        <f>HYPERLINK("https://ppubs.uspto.gov/pubwebapp/external.html?q=20210306807.pn.","USPTO")</f>
        <v>0.0</v>
      </c>
      <c r="J4" s="2" t="n">
        <f>HYPERLINK("https://image-ppubs.uspto.gov/dirsearch-public/print/downloadPdf/20210306807","USPTO PDF")</f>
        <v>0.0</v>
      </c>
      <c r="K4" s="2" t="n">
        <f>HYPERLINK("https://sectors.patentforecast.com/pmd/US20210306807","PMD")</f>
        <v>0.0</v>
      </c>
      <c r="L4" s="2" t="n">
        <f>HYPERLINK("https://globaldossier.uspto.gov/result/application/US/17214611/1","US20210306807")</f>
        <v>0.0</v>
      </c>
      <c r="M4" t="s">
        <v>45</v>
      </c>
      <c r="N4" t="s">
        <v>46</v>
      </c>
      <c r="O4" t="s">
        <v>47</v>
      </c>
      <c r="P4" t="s">
        <v>48</v>
      </c>
      <c r="Q4" s="3" t="n">
        <v>44281.0</v>
      </c>
      <c r="R4" s="3" t="n">
        <v>44469.0</v>
      </c>
      <c r="S4" s="3" t="n">
        <v>44470.90960892361</v>
      </c>
      <c r="T4" s="3" t="n">
        <v>44495.71908538194</v>
      </c>
      <c r="U4" t="s">
        <v>49</v>
      </c>
      <c r="V4" t="s">
        <v>50</v>
      </c>
    </row>
    <row r="5">
      <c r="A5" t="s">
        <v>22</v>
      </c>
      <c r="B5" t="s">
        <v>51</v>
      </c>
      <c r="C5" t="s">
        <v>52</v>
      </c>
      <c r="D5" t="s">
        <v>52</v>
      </c>
      <c r="E5" t="s">
        <v>53</v>
      </c>
      <c r="F5" s="2" t="n">
        <f>HYPERLINK("https://patents.google.com/patent/US20210306801","Google")</f>
        <v>0.0</v>
      </c>
      <c r="G5" s="2" t="n">
        <f>HYPERLINK("https://patentcenter.uspto.gov/applications/17345599","Patent Center")</f>
        <v>0.0</v>
      </c>
      <c r="H5" s="2" t="n">
        <f>HYPERLINK("https://worldwide.espacenet.com/patent/search?q=US20210306801","Espacenet")</f>
        <v>0.0</v>
      </c>
      <c r="I5" s="2" t="n">
        <f>HYPERLINK("https://ppubs.uspto.gov/pubwebapp/external.html?q=20210306801.pn.","USPTO")</f>
        <v>0.0</v>
      </c>
      <c r="J5" s="2" t="n">
        <f>HYPERLINK("https://image-ppubs.uspto.gov/dirsearch-public/print/downloadPdf/20210306801","USPTO PDF")</f>
        <v>0.0</v>
      </c>
      <c r="K5" s="2" t="n">
        <f>HYPERLINK("https://sectors.patentforecast.com/pmd/US20210306801","PMD")</f>
        <v>0.0</v>
      </c>
      <c r="L5" s="2" t="n">
        <f>HYPERLINK("https://globaldossier.uspto.gov/result/application/US/17345599/1","US20210306801")</f>
        <v>0.0</v>
      </c>
      <c r="M5" t="s">
        <v>54</v>
      </c>
      <c r="N5" t="s">
        <v>55</v>
      </c>
      <c r="O5" t="s">
        <v>56</v>
      </c>
      <c r="P5" t="s">
        <v>57</v>
      </c>
      <c r="Q5" s="3" t="n">
        <v>44358.0</v>
      </c>
      <c r="R5" s="3" t="n">
        <v>44469.0</v>
      </c>
      <c r="S5" s="3" t="n">
        <v>44470.91053364583</v>
      </c>
      <c r="T5" s="3" t="n">
        <v>44495.72918556713</v>
      </c>
      <c r="U5" t="s">
        <v>58</v>
      </c>
      <c r="V5" t="s">
        <v>59</v>
      </c>
    </row>
    <row r="6">
      <c r="A6" t="s">
        <v>22</v>
      </c>
      <c r="B6" t="s">
        <v>60</v>
      </c>
      <c r="C6" t="s">
        <v>61</v>
      </c>
      <c r="D6" t="s">
        <v>61</v>
      </c>
      <c r="E6" t="s">
        <v>62</v>
      </c>
      <c r="F6" s="2" t="n">
        <f>HYPERLINK("https://patents.google.com/patent/US20210306068","Google")</f>
        <v>0.0</v>
      </c>
      <c r="G6" s="2" t="n">
        <f>HYPERLINK("https://patentcenter.uspto.gov/applications/17347489","Patent Center")</f>
        <v>0.0</v>
      </c>
      <c r="H6" s="2" t="n">
        <f>HYPERLINK("https://worldwide.espacenet.com/patent/search?q=US20210306068","Espacenet")</f>
        <v>0.0</v>
      </c>
      <c r="I6" s="2" t="n">
        <f>HYPERLINK("https://ppubs.uspto.gov/pubwebapp/external.html?q=20210306068.pn.","USPTO")</f>
        <v>0.0</v>
      </c>
      <c r="J6" s="2" t="n">
        <f>HYPERLINK("https://image-ppubs.uspto.gov/dirsearch-public/print/downloadPdf/20210306068","USPTO PDF")</f>
        <v>0.0</v>
      </c>
      <c r="K6" s="2" t="n">
        <f>HYPERLINK("https://sectors.patentforecast.com/pmd/US20210306068","PMD")</f>
        <v>0.0</v>
      </c>
      <c r="L6" s="2" t="n">
        <f>HYPERLINK("https://globaldossier.uspto.gov/result/application/US/17347489/1","US20210306068")</f>
        <v>0.0</v>
      </c>
      <c r="M6" t="s">
        <v>63</v>
      </c>
      <c r="N6" t="s">
        <v>64</v>
      </c>
      <c r="O6" t="s">
        <v>65</v>
      </c>
      <c r="P6" t="s">
        <v>66</v>
      </c>
      <c r="Q6" s="3" t="n">
        <v>44361.0</v>
      </c>
      <c r="R6" s="3" t="n">
        <v>44469.0</v>
      </c>
      <c r="S6" s="3" t="n">
        <v>44470.88078798611</v>
      </c>
      <c r="T6" s="3" t="n">
        <v>44495.73170648148</v>
      </c>
      <c r="U6" t="s">
        <v>67</v>
      </c>
      <c r="V6" t="s">
        <v>68</v>
      </c>
    </row>
    <row r="7">
      <c r="A7" t="s">
        <v>22</v>
      </c>
      <c r="B7" t="s">
        <v>69</v>
      </c>
      <c r="C7" t="s">
        <v>24</v>
      </c>
      <c r="D7" t="s">
        <v>25</v>
      </c>
      <c r="E7" t="s">
        <v>70</v>
      </c>
      <c r="F7" s="2" t="n">
        <f>HYPERLINK("https://patents.google.com/patent/US20210306050","Google")</f>
        <v>0.0</v>
      </c>
      <c r="G7" s="2" t="n">
        <f>HYPERLINK("https://patentcenter.uspto.gov/applications/17304010","Patent Center")</f>
        <v>0.0</v>
      </c>
      <c r="H7" s="2" t="n">
        <f>HYPERLINK("https://worldwide.espacenet.com/patent/search?q=US20210306050","Espacenet")</f>
        <v>0.0</v>
      </c>
      <c r="I7" s="2" t="n">
        <f>HYPERLINK("https://ppubs.uspto.gov/pubwebapp/external.html?q=20210306050.pn.","USPTO")</f>
        <v>0.0</v>
      </c>
      <c r="J7" s="2" t="n">
        <f>HYPERLINK("https://image-ppubs.uspto.gov/dirsearch-public/print/downloadPdf/20210306050","USPTO PDF")</f>
        <v>0.0</v>
      </c>
      <c r="K7" s="2" t="n">
        <f>HYPERLINK("https://sectors.patentforecast.com/pmd/US20210306050","PMD")</f>
        <v>0.0</v>
      </c>
      <c r="L7" s="2" t="n">
        <f>HYPERLINK("https://globaldossier.uspto.gov/result/application/US/17304010/1","US20210306050")</f>
        <v>0.0</v>
      </c>
      <c r="M7" t="s">
        <v>71</v>
      </c>
      <c r="N7" t="s">
        <v>72</v>
      </c>
      <c r="O7" t="s">
        <v>73</v>
      </c>
      <c r="P7" t="s">
        <v>74</v>
      </c>
      <c r="Q7" s="3" t="n">
        <v>44358.0</v>
      </c>
      <c r="R7" s="3" t="n">
        <v>44469.0</v>
      </c>
      <c r="S7" s="3" t="n">
        <v>44470.90266298611</v>
      </c>
      <c r="T7" s="3" t="n">
        <v>44495.664616435184</v>
      </c>
      <c r="U7" t="s">
        <v>75</v>
      </c>
      <c r="V7" t="s">
        <v>76</v>
      </c>
    </row>
    <row r="8">
      <c r="A8" t="s">
        <v>22</v>
      </c>
      <c r="B8" t="s">
        <v>77</v>
      </c>
      <c r="C8" t="s">
        <v>24</v>
      </c>
      <c r="D8" t="s">
        <v>25</v>
      </c>
      <c r="E8" t="s">
        <v>78</v>
      </c>
      <c r="F8" s="2" t="n">
        <f>HYPERLINK("https://patents.google.com/patent/US20210303170","Google")</f>
        <v>0.0</v>
      </c>
      <c r="G8" s="2" t="n">
        <f>HYPERLINK("https://patentcenter.uspto.gov/applications/16888818","Patent Center")</f>
        <v>0.0</v>
      </c>
      <c r="H8" s="2" t="n">
        <f>HYPERLINK("https://worldwide.espacenet.com/patent/search?q=US20210303170","Espacenet")</f>
        <v>0.0</v>
      </c>
      <c r="I8" s="2" t="n">
        <f>HYPERLINK("https://ppubs.uspto.gov/pubwebapp/external.html?q=20210303170.pn.","USPTO")</f>
        <v>0.0</v>
      </c>
      <c r="J8" s="2" t="n">
        <f>HYPERLINK("https://image-ppubs.uspto.gov/dirsearch-public/print/downloadPdf/20210303170","USPTO PDF")</f>
        <v>0.0</v>
      </c>
      <c r="K8" s="2" t="n">
        <f>HYPERLINK("https://sectors.patentforecast.com/pmd/US20210303170","PMD")</f>
        <v>0.0</v>
      </c>
      <c r="L8" s="2" t="n">
        <f>HYPERLINK("https://globaldossier.uspto.gov/result/application/US/16888818/1","US20210303170")</f>
        <v>0.0</v>
      </c>
      <c r="M8" t="s">
        <v>79</v>
      </c>
      <c r="N8" t="s">
        <v>80</v>
      </c>
      <c r="O8" t="s">
        <v>81</v>
      </c>
      <c r="P8" t="s">
        <v>82</v>
      </c>
      <c r="Q8" s="3" t="n">
        <v>43982.0</v>
      </c>
      <c r="R8" s="3" t="n">
        <v>44469.0</v>
      </c>
      <c r="S8" s="3" t="n">
        <v>44470.922107453705</v>
      </c>
      <c r="T8" s="3" t="n">
        <v>44495.61704493056</v>
      </c>
      <c r="U8" t="s">
        <v>83</v>
      </c>
      <c r="V8" t="s">
        <v>84</v>
      </c>
    </row>
    <row r="9">
      <c r="A9" t="s">
        <v>22</v>
      </c>
      <c r="B9" t="s">
        <v>85</v>
      </c>
      <c r="C9" t="s">
        <v>24</v>
      </c>
      <c r="D9" t="s">
        <v>25</v>
      </c>
      <c r="E9" t="s">
        <v>86</v>
      </c>
      <c r="F9" s="2" t="n">
        <f>HYPERLINK("https://patents.google.com/patent/US20210298067","Google")</f>
        <v>0.0</v>
      </c>
      <c r="G9" s="2" t="n">
        <f>HYPERLINK("https://patentcenter.uspto.gov/applications/17340252","Patent Center")</f>
        <v>0.0</v>
      </c>
      <c r="H9" s="2" t="n">
        <f>HYPERLINK("https://worldwide.espacenet.com/patent/search?q=US20210298067","Espacenet")</f>
        <v>0.0</v>
      </c>
      <c r="I9" s="2" t="n">
        <f>HYPERLINK("https://ppubs.uspto.gov/pubwebapp/external.html?q=20210298067.pn.","USPTO")</f>
        <v>0.0</v>
      </c>
      <c r="J9" s="2" t="n">
        <f>HYPERLINK("https://image-ppubs.uspto.gov/dirsearch-public/print/downloadPdf/20210298067","USPTO PDF")</f>
        <v>0.0</v>
      </c>
      <c r="K9" s="2" t="n">
        <f>HYPERLINK("https://sectors.patentforecast.com/pmd/US20210298067","PMD")</f>
        <v>0.0</v>
      </c>
      <c r="L9" s="2" t="n">
        <f>HYPERLINK("https://globaldossier.uspto.gov/result/application/US/17340252/1","US20210298067")</f>
        <v>0.0</v>
      </c>
      <c r="M9" t="s">
        <v>87</v>
      </c>
      <c r="N9" t="s">
        <v>88</v>
      </c>
      <c r="O9" t="s">
        <v>89</v>
      </c>
      <c r="P9" t="s">
        <v>90</v>
      </c>
      <c r="Q9" s="3" t="n">
        <v>44354.0</v>
      </c>
      <c r="R9" s="3" t="n">
        <v>44462.0</v>
      </c>
      <c r="S9" s="3" t="n">
        <v>44463.901505960646</v>
      </c>
      <c r="T9" s="3" t="n">
        <v>44495.84809837963</v>
      </c>
      <c r="U9" t="s">
        <v>91</v>
      </c>
      <c r="V9" t="s">
        <v>92</v>
      </c>
    </row>
    <row r="10">
      <c r="A10" t="s">
        <v>22</v>
      </c>
      <c r="B10" t="s">
        <v>93</v>
      </c>
      <c r="C10" t="s">
        <v>24</v>
      </c>
      <c r="D10" t="s">
        <v>25</v>
      </c>
      <c r="E10" t="s">
        <v>94</v>
      </c>
      <c r="F10" s="2" t="n">
        <f>HYPERLINK("https://patents.google.com/patent/US20210297979","Google")</f>
        <v>0.0</v>
      </c>
      <c r="G10" s="2" t="n">
        <f>HYPERLINK("https://patentcenter.uspto.gov/applications/17334343","Patent Center")</f>
        <v>0.0</v>
      </c>
      <c r="H10" s="2" t="n">
        <f>HYPERLINK("https://worldwide.espacenet.com/patent/search?q=US20210297979","Espacenet")</f>
        <v>0.0</v>
      </c>
      <c r="I10" s="2" t="n">
        <f>HYPERLINK("https://ppubs.uspto.gov/pubwebapp/external.html?q=20210297979.pn.","USPTO")</f>
        <v>0.0</v>
      </c>
      <c r="J10" s="2" t="n">
        <f>HYPERLINK("https://image-ppubs.uspto.gov/dirsearch-public/print/downloadPdf/20210297979","USPTO PDF")</f>
        <v>0.0</v>
      </c>
      <c r="K10" s="2" t="n">
        <f>HYPERLINK("https://sectors.patentforecast.com/pmd/US20210297979","PMD")</f>
        <v>0.0</v>
      </c>
      <c r="L10" s="2" t="n">
        <f>HYPERLINK("https://globaldossier.uspto.gov/result/application/US/17334343/1","US20210297979")</f>
        <v>0.0</v>
      </c>
      <c r="M10" t="s">
        <v>95</v>
      </c>
      <c r="N10" t="s">
        <v>96</v>
      </c>
      <c r="O10" t="s">
        <v>97</v>
      </c>
      <c r="P10" t="s">
        <v>98</v>
      </c>
      <c r="Q10" s="3" t="n">
        <v>44344.0</v>
      </c>
      <c r="R10" s="3" t="n">
        <v>44462.0</v>
      </c>
      <c r="S10" s="3" t="n">
        <v>44463.92673744213</v>
      </c>
      <c r="T10" s="3" t="n">
        <v>44495.85579340278</v>
      </c>
      <c r="U10" t="s">
        <v>99</v>
      </c>
      <c r="V10" t="s">
        <v>100</v>
      </c>
    </row>
    <row r="11">
      <c r="A11" t="s">
        <v>22</v>
      </c>
      <c r="B11" t="s">
        <v>101</v>
      </c>
      <c r="C11" t="s">
        <v>24</v>
      </c>
      <c r="D11" t="s">
        <v>25</v>
      </c>
      <c r="E11" t="s">
        <v>102</v>
      </c>
      <c r="F11" s="2" t="n">
        <f>HYPERLINK("https://patents.google.com/patent/US20210297904","Google")</f>
        <v>0.0</v>
      </c>
      <c r="G11" s="2" t="n">
        <f>HYPERLINK("https://patentcenter.uspto.gov/applications/17205938","Patent Center")</f>
        <v>0.0</v>
      </c>
      <c r="H11" s="2" t="n">
        <f>HYPERLINK("https://worldwide.espacenet.com/patent/search?q=US20210297904","Espacenet")</f>
        <v>0.0</v>
      </c>
      <c r="I11" s="2" t="n">
        <f>HYPERLINK("https://ppubs.uspto.gov/pubwebapp/external.html?q=20210297904.pn.","USPTO")</f>
        <v>0.0</v>
      </c>
      <c r="J11" s="2" t="n">
        <f>HYPERLINK("https://image-ppubs.uspto.gov/dirsearch-public/print/downloadPdf/20210297904","USPTO PDF")</f>
        <v>0.0</v>
      </c>
      <c r="K11" s="2" t="n">
        <f>HYPERLINK("https://sectors.patentforecast.com/pmd/US20210297904","PMD")</f>
        <v>0.0</v>
      </c>
      <c r="L11" s="2" t="n">
        <f>HYPERLINK("https://globaldossier.uspto.gov/result/application/US/17205938/1","US20210297904")</f>
        <v>0.0</v>
      </c>
      <c r="M11" t="s">
        <v>103</v>
      </c>
      <c r="N11" t="s">
        <v>72</v>
      </c>
      <c r="O11" t="s">
        <v>73</v>
      </c>
      <c r="P11" t="s">
        <v>104</v>
      </c>
      <c r="Q11" s="3" t="n">
        <v>44273.0</v>
      </c>
      <c r="R11" s="3" t="n">
        <v>44462.0</v>
      </c>
      <c r="S11" s="3" t="n">
        <v>44463.9363441088</v>
      </c>
      <c r="T11" s="3" t="n">
        <v>44495.853846516206</v>
      </c>
      <c r="U11" t="s">
        <v>105</v>
      </c>
      <c r="V11" t="s">
        <v>106</v>
      </c>
    </row>
    <row r="12">
      <c r="A12" t="s">
        <v>22</v>
      </c>
      <c r="B12" t="s">
        <v>107</v>
      </c>
      <c r="C12" t="s">
        <v>24</v>
      </c>
      <c r="D12" t="s">
        <v>25</v>
      </c>
      <c r="E12" t="s">
        <v>108</v>
      </c>
      <c r="F12" s="2" t="n">
        <f>HYPERLINK("https://patents.google.com/patent/US20210296759","Google")</f>
        <v>0.0</v>
      </c>
      <c r="G12" s="2" t="n">
        <f>HYPERLINK("https://patentcenter.uspto.gov/applications/17341900","Patent Center")</f>
        <v>0.0</v>
      </c>
      <c r="H12" s="2" t="n">
        <f>HYPERLINK("https://worldwide.espacenet.com/patent/search?q=US20210296759","Espacenet")</f>
        <v>0.0</v>
      </c>
      <c r="I12" s="2" t="n">
        <f>HYPERLINK("https://ppubs.uspto.gov/pubwebapp/external.html?q=20210296759.pn.","USPTO")</f>
        <v>0.0</v>
      </c>
      <c r="J12" s="2" t="n">
        <f>HYPERLINK("https://image-ppubs.uspto.gov/dirsearch-public/print/downloadPdf/20210296759","USPTO PDF")</f>
        <v>0.0</v>
      </c>
      <c r="K12" s="2" t="n">
        <f>HYPERLINK("https://sectors.patentforecast.com/pmd/US20210296759","PMD")</f>
        <v>0.0</v>
      </c>
      <c r="L12" s="2" t="n">
        <f>HYPERLINK("https://globaldossier.uspto.gov/result/application/US/17341900/1","US20210296759")</f>
        <v>0.0</v>
      </c>
      <c r="M12" t="s">
        <v>109</v>
      </c>
      <c r="N12" t="s">
        <v>72</v>
      </c>
      <c r="O12" t="s">
        <v>73</v>
      </c>
      <c r="P12" t="s">
        <v>110</v>
      </c>
      <c r="Q12" s="3" t="n">
        <v>44355.0</v>
      </c>
      <c r="R12" s="3" t="n">
        <v>44462.0</v>
      </c>
      <c r="S12" s="3" t="n">
        <v>44470.846875891206</v>
      </c>
      <c r="T12" s="3" t="n">
        <v>44495.63644311343</v>
      </c>
      <c r="U12" t="s">
        <v>111</v>
      </c>
      <c r="V12" t="s">
        <v>112</v>
      </c>
    </row>
    <row r="13">
      <c r="A13" t="s">
        <v>22</v>
      </c>
      <c r="B13" t="s">
        <v>113</v>
      </c>
      <c r="C13" t="s">
        <v>24</v>
      </c>
      <c r="D13" t="s">
        <v>25</v>
      </c>
      <c r="E13" t="s">
        <v>114</v>
      </c>
      <c r="F13" s="2" t="n">
        <f>HYPERLINK("https://patents.google.com/patent/US20210296758","Google")</f>
        <v>0.0</v>
      </c>
      <c r="G13" s="2" t="n">
        <f>HYPERLINK("https://patentcenter.uspto.gov/applications/16931359","Patent Center")</f>
        <v>0.0</v>
      </c>
      <c r="H13" s="2" t="n">
        <f>HYPERLINK("https://worldwide.espacenet.com/patent/search?q=US20210296758","Espacenet")</f>
        <v>0.0</v>
      </c>
      <c r="I13" s="2" t="n">
        <f>HYPERLINK("https://ppubs.uspto.gov/pubwebapp/external.html?q=20210296758.pn.","USPTO")</f>
        <v>0.0</v>
      </c>
      <c r="J13" s="2" t="n">
        <f>HYPERLINK("https://image-ppubs.uspto.gov/dirsearch-public/print/downloadPdf/20210296758","USPTO PDF")</f>
        <v>0.0</v>
      </c>
      <c r="K13" s="2" t="n">
        <f>HYPERLINK("https://sectors.patentforecast.com/pmd/US20210296758","PMD")</f>
        <v>0.0</v>
      </c>
      <c r="L13" s="2" t="n">
        <f>HYPERLINK("https://globaldossier.uspto.gov/result/application/US/16931359/1","US20210296758")</f>
        <v>0.0</v>
      </c>
      <c r="M13" t="s">
        <v>115</v>
      </c>
      <c r="N13" t="s">
        <v>116</v>
      </c>
      <c r="O13" t="s">
        <v>117</v>
      </c>
      <c r="P13" t="s">
        <v>118</v>
      </c>
      <c r="Q13" s="3" t="n">
        <v>44028.0</v>
      </c>
      <c r="R13" s="3" t="n">
        <v>44462.0</v>
      </c>
      <c r="S13" s="3" t="n">
        <v>44463.85497822917</v>
      </c>
      <c r="T13" s="3" t="n">
        <v>44495.85099475695</v>
      </c>
      <c r="U13" t="s">
        <v>119</v>
      </c>
      <c r="V13" t="s">
        <v>120</v>
      </c>
    </row>
    <row r="14">
      <c r="A14" t="s">
        <v>22</v>
      </c>
      <c r="B14" t="s">
        <v>121</v>
      </c>
      <c r="C14" t="s">
        <v>24</v>
      </c>
      <c r="D14" t="s">
        <v>25</v>
      </c>
      <c r="E14" t="s">
        <v>122</v>
      </c>
      <c r="F14" s="2" t="n">
        <f>HYPERLINK("https://patents.google.com/patent/US20210289551","Google")</f>
        <v>0.0</v>
      </c>
      <c r="G14" s="2" t="n">
        <f>HYPERLINK("https://patentcenter.uspto.gov/applications/16487692","Patent Center")</f>
        <v>0.0</v>
      </c>
      <c r="H14" s="2" t="n">
        <f>HYPERLINK("https://worldwide.espacenet.com/patent/search?q=US20210289551","Espacenet")</f>
        <v>0.0</v>
      </c>
      <c r="I14" s="2" t="n">
        <f>HYPERLINK("https://ppubs.uspto.gov/pubwebapp/external.html?q=20210289551.pn.","USPTO")</f>
        <v>0.0</v>
      </c>
      <c r="J14" s="2" t="n">
        <f>HYPERLINK("https://image-ppubs.uspto.gov/dirsearch-public/print/downloadPdf/20210289551","USPTO PDF")</f>
        <v>0.0</v>
      </c>
      <c r="K14" s="2" t="n">
        <f>HYPERLINK("https://sectors.patentforecast.com/pmd/US20210289551","PMD")</f>
        <v>0.0</v>
      </c>
      <c r="L14" s="2" t="n">
        <f>HYPERLINK("https://globaldossier.uspto.gov/result/application/US/16487692/1","US20210289551")</f>
        <v>0.0</v>
      </c>
      <c r="M14" t="s">
        <v>123</v>
      </c>
      <c r="N14" t="s">
        <v>88</v>
      </c>
      <c r="O14" t="s">
        <v>89</v>
      </c>
      <c r="P14" t="s">
        <v>124</v>
      </c>
      <c r="Q14" s="3" t="n">
        <v>42787.0</v>
      </c>
      <c r="R14" s="3" t="n">
        <v>44455.0</v>
      </c>
      <c r="S14" s="3" t="n">
        <v>44463.901505960646</v>
      </c>
      <c r="T14" s="3" t="n">
        <v>44495.85772153935</v>
      </c>
      <c r="U14" t="s">
        <v>125</v>
      </c>
      <c r="V14" t="s">
        <v>126</v>
      </c>
    </row>
    <row r="15">
      <c r="A15" t="s">
        <v>22</v>
      </c>
      <c r="B15" t="s">
        <v>127</v>
      </c>
      <c r="C15" t="s">
        <v>24</v>
      </c>
      <c r="D15" t="s">
        <v>25</v>
      </c>
      <c r="E15" t="s">
        <v>128</v>
      </c>
      <c r="F15" s="2" t="n">
        <f>HYPERLINK("https://patents.google.com/patent/US20210274068","Google")</f>
        <v>0.0</v>
      </c>
      <c r="G15" s="2" t="n">
        <f>HYPERLINK("https://patentcenter.uspto.gov/applications/17070780","Patent Center")</f>
        <v>0.0</v>
      </c>
      <c r="H15" s="2" t="n">
        <f>HYPERLINK("https://worldwide.espacenet.com/patent/search?q=US20210274068","Espacenet")</f>
        <v>0.0</v>
      </c>
      <c r="I15" s="2" t="n">
        <f>HYPERLINK("https://ppubs.uspto.gov/pubwebapp/external.html?q=20210274068.pn.","USPTO")</f>
        <v>0.0</v>
      </c>
      <c r="J15" s="2" t="n">
        <f>HYPERLINK("https://image-ppubs.uspto.gov/dirsearch-public/print/downloadPdf/20210274068","USPTO PDF")</f>
        <v>0.0</v>
      </c>
      <c r="K15" s="2" t="n">
        <f>HYPERLINK("https://sectors.patentforecast.com/pmd/US20210274068","PMD")</f>
        <v>0.0</v>
      </c>
      <c r="L15" s="2" t="n">
        <f>HYPERLINK("https://globaldossier.uspto.gov/result/application/US/17070780/1","US20210274068")</f>
        <v>0.0</v>
      </c>
      <c r="M15" t="s">
        <v>129</v>
      </c>
      <c r="N15" t="s">
        <v>130</v>
      </c>
      <c r="O15" t="s">
        <v>131</v>
      </c>
      <c r="P15" t="s">
        <v>132</v>
      </c>
      <c r="Q15" s="3" t="n">
        <v>44118.0</v>
      </c>
      <c r="R15" s="3" t="n">
        <v>44441.0</v>
      </c>
      <c r="S15" s="3" t="n">
        <v>44442.84121746528</v>
      </c>
      <c r="T15" s="3" t="n">
        <v>44496.841702349535</v>
      </c>
      <c r="U15" t="s">
        <v>133</v>
      </c>
      <c r="V15" t="s">
        <v>134</v>
      </c>
    </row>
    <row r="16">
      <c r="A16" t="s">
        <v>22</v>
      </c>
      <c r="B16" t="s">
        <v>135</v>
      </c>
      <c r="C16" t="s">
        <v>24</v>
      </c>
      <c r="D16" t="s">
        <v>25</v>
      </c>
      <c r="E16" t="s">
        <v>136</v>
      </c>
      <c r="F16" s="2" t="n">
        <f>HYPERLINK("https://patents.google.com/patent/US20210243072","Google")</f>
        <v>0.0</v>
      </c>
      <c r="G16" s="2" t="n">
        <f>HYPERLINK("https://patentcenter.uspto.gov/applications/17092548","Patent Center")</f>
        <v>0.0</v>
      </c>
      <c r="H16" s="2" t="n">
        <f>HYPERLINK("https://worldwide.espacenet.com/patent/search?q=US20210243072","Espacenet")</f>
        <v>0.0</v>
      </c>
      <c r="I16" s="2" t="n">
        <f>HYPERLINK("https://ppubs.uspto.gov/pubwebapp/external.html?q=20210243072.pn.","USPTO")</f>
        <v>0.0</v>
      </c>
      <c r="J16" s="2" t="n">
        <f>HYPERLINK("https://image-ppubs.uspto.gov/dirsearch-public/print/downloadPdf/20210243072","USPTO PDF")</f>
        <v>0.0</v>
      </c>
      <c r="K16" s="2" t="n">
        <f>HYPERLINK("https://sectors.patentforecast.com/pmd/US20210243072","PMD")</f>
        <v>0.0</v>
      </c>
      <c r="L16" s="2" t="n">
        <f>HYPERLINK("https://globaldossier.uspto.gov/result/application/US/17092548/1","US20210243072")</f>
        <v>0.0</v>
      </c>
      <c r="M16" t="s">
        <v>137</v>
      </c>
      <c r="N16" t="s">
        <v>138</v>
      </c>
      <c r="O16" t="s">
        <v>139</v>
      </c>
      <c r="P16" t="s">
        <v>140</v>
      </c>
      <c r="Q16" s="3" t="n">
        <v>44144.0</v>
      </c>
      <c r="R16" s="3" t="n">
        <v>44413.0</v>
      </c>
      <c r="S16" s="3" t="n">
        <v>44414.82130383102</v>
      </c>
      <c r="T16" s="3" t="n">
        <v>44497.56451359954</v>
      </c>
      <c r="U16" t="s">
        <v>141</v>
      </c>
      <c r="V16" t="s">
        <v>142</v>
      </c>
    </row>
    <row r="17">
      <c r="A17" t="s">
        <v>22</v>
      </c>
      <c r="B17" t="s">
        <v>143</v>
      </c>
      <c r="C17" t="s">
        <v>24</v>
      </c>
      <c r="D17" t="s">
        <v>25</v>
      </c>
      <c r="E17" t="s">
        <v>144</v>
      </c>
      <c r="F17" s="2" t="n">
        <f>HYPERLINK("https://patents.google.com/patent/US20210239431","Google")</f>
        <v>0.0</v>
      </c>
      <c r="G17" s="2" t="n">
        <f>HYPERLINK("https://patentcenter.uspto.gov/applications/17148015","Patent Center")</f>
        <v>0.0</v>
      </c>
      <c r="H17" s="2" t="n">
        <f>HYPERLINK("https://worldwide.espacenet.com/patent/search?q=US20210239431","Espacenet")</f>
        <v>0.0</v>
      </c>
      <c r="I17" s="2" t="n">
        <f>HYPERLINK("https://ppubs.uspto.gov/pubwebapp/external.html?q=20210239431.pn.","USPTO")</f>
        <v>0.0</v>
      </c>
      <c r="J17" s="2" t="n">
        <f>HYPERLINK("https://image-ppubs.uspto.gov/dirsearch-public/print/downloadPdf/20210239431","USPTO PDF")</f>
        <v>0.0</v>
      </c>
      <c r="K17" s="2" t="n">
        <f>HYPERLINK("https://sectors.patentforecast.com/pmd/US20210239431","PMD")</f>
        <v>0.0</v>
      </c>
      <c r="L17" s="2" t="n">
        <f>HYPERLINK("https://globaldossier.uspto.gov/result/application/US/17148015/1","US20210239431")</f>
        <v>0.0</v>
      </c>
      <c r="M17" t="s">
        <v>145</v>
      </c>
      <c r="N17" t="s">
        <v>146</v>
      </c>
      <c r="O17" t="s">
        <v>147</v>
      </c>
      <c r="P17" t="s">
        <v>148</v>
      </c>
      <c r="Q17" s="3" t="n">
        <v>44209.0</v>
      </c>
      <c r="R17" s="3" t="n">
        <v>44413.0</v>
      </c>
      <c r="S17" s="3" t="n">
        <v>44414.807183460645</v>
      </c>
      <c r="T17" s="3" t="n">
        <v>44497.56495505787</v>
      </c>
      <c r="U17" t="s">
        <v>149</v>
      </c>
      <c r="V17" t="s">
        <v>150</v>
      </c>
    </row>
    <row r="18">
      <c r="A18" t="s">
        <v>22</v>
      </c>
      <c r="B18" t="s">
        <v>151</v>
      </c>
      <c r="C18" t="s">
        <v>24</v>
      </c>
      <c r="D18" t="s">
        <v>25</v>
      </c>
      <c r="E18" t="s">
        <v>152</v>
      </c>
      <c r="F18" s="2" t="n">
        <f>HYPERLINK("https://patents.google.com/patent/US20210234576","Google")</f>
        <v>0.0</v>
      </c>
      <c r="G18" s="2" t="n">
        <f>HYPERLINK("https://patentcenter.uspto.gov/applications/17177562","Patent Center")</f>
        <v>0.0</v>
      </c>
      <c r="H18" s="2" t="n">
        <f>HYPERLINK("https://worldwide.espacenet.com/patent/search?q=US20210234576","Espacenet")</f>
        <v>0.0</v>
      </c>
      <c r="I18" s="2" t="n">
        <f>HYPERLINK("https://ppubs.uspto.gov/pubwebapp/external.html?q=20210234576.pn.","USPTO")</f>
        <v>0.0</v>
      </c>
      <c r="J18" s="2" t="n">
        <f>HYPERLINK("https://image-ppubs.uspto.gov/dirsearch-public/print/downloadPdf/20210234576","USPTO PDF")</f>
        <v>0.0</v>
      </c>
      <c r="K18" s="2" t="n">
        <f>HYPERLINK("https://sectors.patentforecast.com/pmd/US20210234576","PMD")</f>
        <v>0.0</v>
      </c>
      <c r="L18" s="2" t="n">
        <f>HYPERLINK("https://globaldossier.uspto.gov/result/application/US/17177562/1","US20210234576")</f>
        <v>0.0</v>
      </c>
      <c r="M18" t="s">
        <v>153</v>
      </c>
      <c r="N18" t="s">
        <v>154</v>
      </c>
      <c r="O18" t="s">
        <v>155</v>
      </c>
      <c r="P18" t="s">
        <v>156</v>
      </c>
      <c r="Q18" s="3" t="n">
        <v>44244.0</v>
      </c>
      <c r="R18" s="3" t="n">
        <v>44406.0</v>
      </c>
      <c r="S18" s="3" t="n">
        <v>44496.75751278935</v>
      </c>
      <c r="T18" s="3" t="n">
        <v>44496.761683125</v>
      </c>
      <c r="U18" t="s">
        <v>157</v>
      </c>
      <c r="V18" t="s">
        <v>158</v>
      </c>
    </row>
    <row r="19">
      <c r="A19" t="s">
        <v>22</v>
      </c>
      <c r="B19" t="s">
        <v>159</v>
      </c>
      <c r="C19" t="s">
        <v>24</v>
      </c>
      <c r="D19" t="s">
        <v>25</v>
      </c>
      <c r="E19" t="s">
        <v>160</v>
      </c>
      <c r="F19" s="2" t="n">
        <f>HYPERLINK("https://patents.google.com/patent/US20210216131","Google")</f>
        <v>0.0</v>
      </c>
      <c r="G19" s="2" t="n">
        <f>HYPERLINK("https://patentcenter.uspto.gov/applications/16740873","Patent Center")</f>
        <v>0.0</v>
      </c>
      <c r="H19" s="2" t="n">
        <f>HYPERLINK("https://worldwide.espacenet.com/patent/search?q=US20210216131","Espacenet")</f>
        <v>0.0</v>
      </c>
      <c r="I19" s="2" t="n">
        <f>HYPERLINK("https://ppubs.uspto.gov/pubwebapp/external.html?q=20210216131.pn.","USPTO")</f>
        <v>0.0</v>
      </c>
      <c r="J19" s="2" t="n">
        <f>HYPERLINK("https://image-ppubs.uspto.gov/dirsearch-public/print/downloadPdf/20210216131","USPTO PDF")</f>
        <v>0.0</v>
      </c>
      <c r="K19" s="2" t="n">
        <f>HYPERLINK("https://sectors.patentforecast.com/pmd/US20210216131","PMD")</f>
        <v>0.0</v>
      </c>
      <c r="L19" s="2" t="n">
        <f>HYPERLINK("https://globaldossier.uspto.gov/result/application/US/16740873/1","US20210216131")</f>
        <v>0.0</v>
      </c>
      <c r="M19" t="s">
        <v>161</v>
      </c>
      <c r="N19" t="s">
        <v>162</v>
      </c>
      <c r="O19" t="s">
        <v>163</v>
      </c>
      <c r="P19" t="s">
        <v>164</v>
      </c>
      <c r="Q19" s="3" t="n">
        <v>43843.0</v>
      </c>
      <c r="R19" s="3" t="n">
        <v>44392.0</v>
      </c>
      <c r="S19" s="3" t="n">
        <v>44393.840056678244</v>
      </c>
      <c r="T19" s="3" t="n">
        <v>44497.544567997684</v>
      </c>
      <c r="U19" t="s">
        <v>165</v>
      </c>
      <c r="V19" t="s">
        <v>166</v>
      </c>
    </row>
    <row r="20">
      <c r="A20" t="s">
        <v>22</v>
      </c>
      <c r="B20" t="s">
        <v>167</v>
      </c>
      <c r="C20" t="s">
        <v>168</v>
      </c>
      <c r="D20" t="s">
        <v>168</v>
      </c>
      <c r="E20" t="s">
        <v>169</v>
      </c>
      <c r="F20" s="2" t="n">
        <f>HYPERLINK("https://patents.google.com/patent/US20210185144","Google")</f>
        <v>0.0</v>
      </c>
      <c r="G20" s="2" t="n">
        <f>HYPERLINK("https://patentcenter.uspto.gov/applications/17164404","Patent Center")</f>
        <v>0.0</v>
      </c>
      <c r="H20" s="2" t="n">
        <f>HYPERLINK("https://worldwide.espacenet.com/patent/search?q=US20210185144","Espacenet")</f>
        <v>0.0</v>
      </c>
      <c r="I20" s="2" t="n">
        <f>HYPERLINK("https://ppubs.uspto.gov/pubwebapp/external.html?q=20210185144.pn.","USPTO")</f>
        <v>0.0</v>
      </c>
      <c r="J20" s="2" t="n">
        <f>HYPERLINK("https://image-ppubs.uspto.gov/dirsearch-public/print/downloadPdf/20210185144","USPTO PDF")</f>
        <v>0.0</v>
      </c>
      <c r="K20" s="2" t="n">
        <f>HYPERLINK("https://sectors.patentforecast.com/pmd/US20210185144","PMD")</f>
        <v>0.0</v>
      </c>
      <c r="L20" s="2" t="n">
        <f>HYPERLINK("https://globaldossier.uspto.gov/result/application/US/17164404/1","US20210185144")</f>
        <v>0.0</v>
      </c>
      <c r="M20" t="s">
        <v>170</v>
      </c>
      <c r="N20" t="s">
        <v>171</v>
      </c>
      <c r="O20" t="s">
        <v>172</v>
      </c>
      <c r="P20" t="s">
        <v>173</v>
      </c>
      <c r="Q20" s="3" t="n">
        <v>44228.0</v>
      </c>
      <c r="R20" s="3" t="n">
        <v>44364.0</v>
      </c>
      <c r="S20" s="3" t="n">
        <v>44365.84467604167</v>
      </c>
      <c r="T20" s="3" t="n">
        <v>44497.573878194446</v>
      </c>
      <c r="U20" t="s">
        <v>174</v>
      </c>
      <c r="V20" t="s">
        <v>175</v>
      </c>
    </row>
    <row r="21">
      <c r="A21" t="s">
        <v>22</v>
      </c>
      <c r="B21" t="s">
        <v>176</v>
      </c>
      <c r="C21" t="s">
        <v>168</v>
      </c>
      <c r="D21" t="s">
        <v>168</v>
      </c>
      <c r="E21" t="s">
        <v>177</v>
      </c>
      <c r="F21" s="2" t="n">
        <f>HYPERLINK("https://patents.google.com/patent/US20210176822","Google")</f>
        <v>0.0</v>
      </c>
      <c r="G21" s="2" t="n">
        <f>HYPERLINK("https://patentcenter.uspto.gov/applications/17074594","Patent Center")</f>
        <v>0.0</v>
      </c>
      <c r="H21" s="2" t="n">
        <f>HYPERLINK("https://worldwide.espacenet.com/patent/search?q=US20210176822","Espacenet")</f>
        <v>0.0</v>
      </c>
      <c r="I21" s="2" t="n">
        <f>HYPERLINK("https://ppubs.uspto.gov/pubwebapp/external.html?q=20210176822.pn.","USPTO")</f>
        <v>0.0</v>
      </c>
      <c r="J21" s="2" t="n">
        <f>HYPERLINK("https://image-ppubs.uspto.gov/dirsearch-public/print/downloadPdf/20210176822","USPTO PDF")</f>
        <v>0.0</v>
      </c>
      <c r="K21" s="2" t="n">
        <f>HYPERLINK("https://sectors.patentforecast.com/pmd/US20210176822","PMD")</f>
        <v>0.0</v>
      </c>
      <c r="L21" s="2" t="n">
        <f>HYPERLINK("https://globaldossier.uspto.gov/result/application/US/17074594/1","US20210176822")</f>
        <v>0.0</v>
      </c>
      <c r="M21" t="s">
        <v>178</v>
      </c>
      <c r="N21" t="s">
        <v>179</v>
      </c>
      <c r="O21" t="s">
        <v>180</v>
      </c>
      <c r="P21" t="s">
        <v>181</v>
      </c>
      <c r="Q21" s="3" t="n">
        <v>44123.0</v>
      </c>
      <c r="R21" s="3" t="n">
        <v>44357.0</v>
      </c>
      <c r="S21" s="3" t="n">
        <v>44358.80417269676</v>
      </c>
      <c r="T21" s="3" t="n">
        <v>44497.55902295139</v>
      </c>
      <c r="U21" t="s">
        <v>182</v>
      </c>
      <c r="V21" t="s">
        <v>183</v>
      </c>
    </row>
    <row r="22">
      <c r="A22" t="s">
        <v>22</v>
      </c>
      <c r="B22" t="s">
        <v>184</v>
      </c>
      <c r="C22" t="s">
        <v>24</v>
      </c>
      <c r="D22" t="s">
        <v>25</v>
      </c>
      <c r="E22" t="s">
        <v>185</v>
      </c>
      <c r="F22" s="2" t="n">
        <f>HYPERLINK("https://patents.google.com/patent/US20210176709","Google")</f>
        <v>0.0</v>
      </c>
      <c r="G22" s="2" t="n">
        <f>HYPERLINK("https://patentcenter.uspto.gov/applications/17158371","Patent Center")</f>
        <v>0.0</v>
      </c>
      <c r="H22" s="2" t="n">
        <f>HYPERLINK("https://worldwide.espacenet.com/patent/search?q=US20210176709","Espacenet")</f>
        <v>0.0</v>
      </c>
      <c r="I22" s="2" t="n">
        <f>HYPERLINK("https://ppubs.uspto.gov/pubwebapp/external.html?q=20210176709.pn.","USPTO")</f>
        <v>0.0</v>
      </c>
      <c r="J22" s="2" t="n">
        <f>HYPERLINK("https://image-ppubs.uspto.gov/dirsearch-public/print/downloadPdf/20210176709","USPTO PDF")</f>
        <v>0.0</v>
      </c>
      <c r="K22" s="2" t="n">
        <f>HYPERLINK("https://sectors.patentforecast.com/pmd/US20210176709","PMD")</f>
        <v>0.0</v>
      </c>
      <c r="L22" s="2" t="n">
        <f>HYPERLINK("https://globaldossier.uspto.gov/result/application/US/17158371/1","US20210176709")</f>
        <v>0.0</v>
      </c>
      <c r="M22" t="s">
        <v>186</v>
      </c>
      <c r="N22" t="s">
        <v>187</v>
      </c>
      <c r="O22" t="s">
        <v>188</v>
      </c>
      <c r="P22" t="s">
        <v>189</v>
      </c>
      <c r="Q22" s="3" t="n">
        <v>44222.0</v>
      </c>
      <c r="R22" s="3" t="n">
        <v>44357.0</v>
      </c>
      <c r="S22" s="3" t="n">
        <v>44358.840516145836</v>
      </c>
      <c r="T22" s="3" t="n">
        <v>44497.554529664354</v>
      </c>
      <c r="U22" t="s">
        <v>190</v>
      </c>
      <c r="V22" t="s">
        <v>191</v>
      </c>
    </row>
    <row r="23">
      <c r="A23" t="s">
        <v>22</v>
      </c>
      <c r="B23" t="s">
        <v>192</v>
      </c>
      <c r="C23" t="s">
        <v>24</v>
      </c>
      <c r="D23" t="s">
        <v>25</v>
      </c>
      <c r="E23" t="s">
        <v>193</v>
      </c>
      <c r="F23" s="2" t="n">
        <f>HYPERLINK("https://patents.google.com/patent/US20210175634","Google")</f>
        <v>0.0</v>
      </c>
      <c r="G23" s="2" t="n">
        <f>HYPERLINK("https://patentcenter.uspto.gov/applications/17180807","Patent Center")</f>
        <v>0.0</v>
      </c>
      <c r="H23" s="2" t="n">
        <f>HYPERLINK("https://worldwide.espacenet.com/patent/search?q=US20210175634","Espacenet")</f>
        <v>0.0</v>
      </c>
      <c r="I23" s="2" t="n">
        <f>HYPERLINK("https://ppubs.uspto.gov/pubwebapp/external.html?q=20210175634.pn.","USPTO")</f>
        <v>0.0</v>
      </c>
      <c r="J23" s="2" t="n">
        <f>HYPERLINK("https://image-ppubs.uspto.gov/dirsearch-public/print/downloadPdf/20210175634","USPTO PDF")</f>
        <v>0.0</v>
      </c>
      <c r="K23" s="2" t="n">
        <f>HYPERLINK("https://sectors.patentforecast.com/pmd/US20210175634","PMD")</f>
        <v>0.0</v>
      </c>
      <c r="L23" s="2" t="n">
        <f>HYPERLINK("https://globaldossier.uspto.gov/result/application/US/17180807/1","US20210175634")</f>
        <v>0.0</v>
      </c>
      <c r="M23" t="s">
        <v>194</v>
      </c>
      <c r="N23" t="s">
        <v>195</v>
      </c>
      <c r="O23" t="s">
        <v>196</v>
      </c>
      <c r="P23" t="s">
        <v>197</v>
      </c>
      <c r="Q23" s="3" t="n">
        <v>44248.0</v>
      </c>
      <c r="R23" s="3" t="n">
        <v>44357.0</v>
      </c>
      <c r="S23" s="3" t="n">
        <v>44358.86308487268</v>
      </c>
      <c r="T23" s="3" t="n">
        <v>44497.49390623843</v>
      </c>
      <c r="U23" t="s">
        <v>198</v>
      </c>
      <c r="V23" t="s">
        <v>199</v>
      </c>
    </row>
    <row r="24">
      <c r="A24" t="s">
        <v>22</v>
      </c>
      <c r="B24" t="s">
        <v>200</v>
      </c>
      <c r="C24" t="s">
        <v>24</v>
      </c>
      <c r="D24" t="s">
        <v>25</v>
      </c>
      <c r="E24" t="s">
        <v>201</v>
      </c>
      <c r="F24" s="2" t="n">
        <f>HYPERLINK("https://patents.google.com/patent/US20210169203","Google")</f>
        <v>0.0</v>
      </c>
      <c r="G24" s="2" t="n">
        <f>HYPERLINK("https://patentcenter.uspto.gov/applications/17109917","Patent Center")</f>
        <v>0.0</v>
      </c>
      <c r="H24" s="2" t="n">
        <f>HYPERLINK("https://worldwide.espacenet.com/patent/search?q=US20210169203","Espacenet")</f>
        <v>0.0</v>
      </c>
      <c r="I24" s="2" t="n">
        <f>HYPERLINK("https://ppubs.uspto.gov/pubwebapp/external.html?q=20210169203.pn.","USPTO")</f>
        <v>0.0</v>
      </c>
      <c r="J24" s="2" t="n">
        <f>HYPERLINK("https://image-ppubs.uspto.gov/dirsearch-public/print/downloadPdf/20210169203","USPTO PDF")</f>
        <v>0.0</v>
      </c>
      <c r="K24" s="2" t="n">
        <f>HYPERLINK("https://sectors.patentforecast.com/pmd/US20210169203","PMD")</f>
        <v>0.0</v>
      </c>
      <c r="L24" s="2" t="n">
        <f>HYPERLINK("https://globaldossier.uspto.gov/result/application/US/17109917/1","US20210169203")</f>
        <v>0.0</v>
      </c>
      <c r="M24" t="s">
        <v>202</v>
      </c>
      <c r="N24" t="s">
        <v>203</v>
      </c>
      <c r="O24" t="s">
        <v>204</v>
      </c>
      <c r="P24" t="s">
        <v>205</v>
      </c>
      <c r="Q24" s="3" t="n">
        <v>44167.0</v>
      </c>
      <c r="R24" s="3" t="n">
        <v>44357.0</v>
      </c>
      <c r="S24" s="3" t="n">
        <v>44358.80776063658</v>
      </c>
      <c r="T24" s="3" t="n">
        <v>44497.55588673611</v>
      </c>
      <c r="U24" t="s">
        <v>206</v>
      </c>
      <c r="V24" t="s">
        <v>207</v>
      </c>
    </row>
    <row r="25">
      <c r="A25" t="s">
        <v>22</v>
      </c>
      <c r="B25" t="s">
        <v>208</v>
      </c>
      <c r="C25" t="s">
        <v>24</v>
      </c>
      <c r="D25" t="s">
        <v>25</v>
      </c>
      <c r="E25" t="s">
        <v>209</v>
      </c>
      <c r="F25" s="2" t="n">
        <f>HYPERLINK("https://patents.google.com/patent/US20210143667","Google")</f>
        <v>0.0</v>
      </c>
      <c r="G25" s="2" t="n">
        <f>HYPERLINK("https://patentcenter.uspto.gov/applications/17151741","Patent Center")</f>
        <v>0.0</v>
      </c>
      <c r="H25" s="2" t="n">
        <f>HYPERLINK("https://worldwide.espacenet.com/patent/search?q=US20210143667","Espacenet")</f>
        <v>0.0</v>
      </c>
      <c r="I25" s="2" t="n">
        <f>HYPERLINK("https://ppubs.uspto.gov/pubwebapp/external.html?q=20210143667.pn.","USPTO")</f>
        <v>0.0</v>
      </c>
      <c r="J25" s="2" t="n">
        <f>HYPERLINK("https://image-ppubs.uspto.gov/dirsearch-public/print/downloadPdf/20210143667","USPTO PDF")</f>
        <v>0.0</v>
      </c>
      <c r="K25" s="2" t="n">
        <f>HYPERLINK("https://sectors.patentforecast.com/pmd/US20210143667","PMD")</f>
        <v>0.0</v>
      </c>
      <c r="L25" s="2" t="n">
        <f>HYPERLINK("https://globaldossier.uspto.gov/result/application/US/17151741/1","US20210143667")</f>
        <v>0.0</v>
      </c>
      <c r="M25" t="s">
        <v>210</v>
      </c>
      <c r="N25" t="s">
        <v>211</v>
      </c>
      <c r="O25" t="s">
        <v>212</v>
      </c>
      <c r="P25" t="s">
        <v>213</v>
      </c>
      <c r="Q25" s="3" t="n">
        <v>44215.0</v>
      </c>
      <c r="R25" s="3" t="n">
        <v>44329.0</v>
      </c>
      <c r="S25" s="3" t="n">
        <v>44330.86389064815</v>
      </c>
      <c r="T25" s="3" t="n">
        <v>44497.435415486114</v>
      </c>
      <c r="U25" t="s">
        <v>214</v>
      </c>
      <c r="V25" t="s">
        <v>215</v>
      </c>
    </row>
    <row r="26">
      <c r="A26" t="s">
        <v>22</v>
      </c>
      <c r="B26" t="s">
        <v>216</v>
      </c>
      <c r="C26" t="s">
        <v>24</v>
      </c>
      <c r="D26" t="s">
        <v>25</v>
      </c>
      <c r="E26" t="s">
        <v>217</v>
      </c>
      <c r="F26" s="2" t="n">
        <f>HYPERLINK("https://patents.google.com/patent/US20210135491","Google")</f>
        <v>0.0</v>
      </c>
      <c r="G26" s="2" t="n">
        <f>HYPERLINK("https://patentcenter.uspto.gov/applications/17086136","Patent Center")</f>
        <v>0.0</v>
      </c>
      <c r="H26" s="2" t="n">
        <f>HYPERLINK("https://worldwide.espacenet.com/patent/search?q=US20210135491","Espacenet")</f>
        <v>0.0</v>
      </c>
      <c r="I26" s="2" t="n">
        <f>HYPERLINK("https://ppubs.uspto.gov/pubwebapp/external.html?q=20210135491.pn.","USPTO")</f>
        <v>0.0</v>
      </c>
      <c r="J26" s="2" t="n">
        <f>HYPERLINK("https://image-ppubs.uspto.gov/dirsearch-public/print/downloadPdf/20210135491","USPTO PDF")</f>
        <v>0.0</v>
      </c>
      <c r="K26" s="2" t="n">
        <f>HYPERLINK("https://sectors.patentforecast.com/pmd/US20210135491","PMD")</f>
        <v>0.0</v>
      </c>
      <c r="L26" s="2" t="n">
        <f>HYPERLINK("https://globaldossier.uspto.gov/result/application/US/17086136/1","US20210135491")</f>
        <v>0.0</v>
      </c>
      <c r="M26" t="s">
        <v>218</v>
      </c>
      <c r="N26" t="s">
        <v>219</v>
      </c>
      <c r="O26" t="s">
        <v>220</v>
      </c>
      <c r="P26" t="s">
        <v>221</v>
      </c>
      <c r="Q26" s="3" t="n">
        <v>44134.0</v>
      </c>
      <c r="R26" s="3" t="n">
        <v>44322.0</v>
      </c>
      <c r="S26" s="3" t="n">
        <v>44324.2473387963</v>
      </c>
      <c r="T26" s="3" t="n">
        <v>44497.42479322917</v>
      </c>
      <c r="U26" t="s">
        <v>222</v>
      </c>
      <c r="V26" t="s">
        <v>223</v>
      </c>
    </row>
    <row r="27">
      <c r="A27" t="s">
        <v>22</v>
      </c>
      <c r="B27" t="s">
        <v>224</v>
      </c>
      <c r="C27" t="s">
        <v>24</v>
      </c>
      <c r="D27" t="s">
        <v>25</v>
      </c>
      <c r="E27" t="s">
        <v>225</v>
      </c>
      <c r="F27" s="2" t="n">
        <f>HYPERLINK("https://patents.google.com/patent/US20210119459","Google")</f>
        <v>0.0</v>
      </c>
      <c r="G27" s="2" t="n">
        <f>HYPERLINK("https://patentcenter.uspto.gov/applications/16659367","Patent Center")</f>
        <v>0.0</v>
      </c>
      <c r="H27" s="2" t="n">
        <f>HYPERLINK("https://worldwide.espacenet.com/patent/search?q=US20210119459","Espacenet")</f>
        <v>0.0</v>
      </c>
      <c r="I27" s="2" t="n">
        <f>HYPERLINK("https://ppubs.uspto.gov/pubwebapp/external.html?q=20210119459.pn.","USPTO")</f>
        <v>0.0</v>
      </c>
      <c r="J27" s="2" t="n">
        <f>HYPERLINK("https://image-ppubs.uspto.gov/dirsearch-public/print/downloadPdf/20210119459","USPTO PDF")</f>
        <v>0.0</v>
      </c>
      <c r="K27" s="2" t="n">
        <f>HYPERLINK("https://sectors.patentforecast.com/pmd/US20210119459","PMD")</f>
        <v>0.0</v>
      </c>
      <c r="L27" s="2" t="n">
        <f>HYPERLINK("https://globaldossier.uspto.gov/result/application/US/16659367/1","US20210119459")</f>
        <v>0.0</v>
      </c>
      <c r="M27" t="s">
        <v>226</v>
      </c>
      <c r="N27" t="s">
        <v>227</v>
      </c>
      <c r="O27" t="s">
        <v>228</v>
      </c>
      <c r="P27" t="s">
        <v>229</v>
      </c>
      <c r="Q27" s="3" t="n">
        <v>43759.0</v>
      </c>
      <c r="R27" s="3" t="n">
        <v>44308.0</v>
      </c>
      <c r="S27" s="3" t="n">
        <v>44309.87651350695</v>
      </c>
      <c r="T27" s="3" t="n">
        <v>44497.36196106482</v>
      </c>
      <c r="U27" t="s">
        <v>230</v>
      </c>
      <c r="V27" t="s">
        <v>231</v>
      </c>
    </row>
    <row r="28">
      <c r="A28" t="s">
        <v>22</v>
      </c>
      <c r="B28" t="s">
        <v>232</v>
      </c>
      <c r="C28" t="s">
        <v>61</v>
      </c>
      <c r="D28" t="s">
        <v>61</v>
      </c>
      <c r="E28" t="s">
        <v>233</v>
      </c>
      <c r="F28" s="2" t="n">
        <f>HYPERLINK("https://patents.google.com/patent/US20210114616","Google")</f>
        <v>0.0</v>
      </c>
      <c r="G28" s="2" t="n">
        <f>HYPERLINK("https://patentcenter.uspto.gov/applications/16494295","Patent Center")</f>
        <v>0.0</v>
      </c>
      <c r="H28" s="2" t="n">
        <f>HYPERLINK("https://worldwide.espacenet.com/patent/search?q=US20210114616","Espacenet")</f>
        <v>0.0</v>
      </c>
      <c r="I28" s="2" t="n">
        <f>HYPERLINK("https://ppubs.uspto.gov/pubwebapp/external.html?q=20210114616.pn.","USPTO")</f>
        <v>0.0</v>
      </c>
      <c r="J28" s="2" t="n">
        <f>HYPERLINK("https://image-ppubs.uspto.gov/dirsearch-public/print/downloadPdf/20210114616","USPTO PDF")</f>
        <v>0.0</v>
      </c>
      <c r="K28" s="2" t="n">
        <f>HYPERLINK("https://sectors.patentforecast.com/pmd/US20210114616","PMD")</f>
        <v>0.0</v>
      </c>
      <c r="L28" s="2" t="n">
        <f>HYPERLINK("https://globaldossier.uspto.gov/result/application/US/16494295/1","US20210114616")</f>
        <v>0.0</v>
      </c>
      <c r="M28" t="s">
        <v>234</v>
      </c>
      <c r="N28" t="s">
        <v>235</v>
      </c>
      <c r="O28" t="s">
        <v>236</v>
      </c>
      <c r="P28" t="s">
        <v>237</v>
      </c>
      <c r="Q28" s="3" t="n">
        <v>43079.0</v>
      </c>
      <c r="R28" s="3" t="n">
        <v>44308.0</v>
      </c>
      <c r="S28" s="3" t="n">
        <v>44310.01818056713</v>
      </c>
      <c r="T28" s="3" t="n">
        <v>44497.37080192129</v>
      </c>
      <c r="U28" t="s">
        <v>238</v>
      </c>
      <c r="V28" t="s">
        <v>239</v>
      </c>
    </row>
    <row r="29">
      <c r="A29" t="s">
        <v>22</v>
      </c>
      <c r="B29" t="s">
        <v>240</v>
      </c>
      <c r="C29" t="s">
        <v>24</v>
      </c>
      <c r="D29" t="s">
        <v>25</v>
      </c>
      <c r="E29" t="s">
        <v>241</v>
      </c>
      <c r="F29" s="2" t="n">
        <f>HYPERLINK("https://patents.google.com/patent/US20210111759","Google")</f>
        <v>0.0</v>
      </c>
      <c r="G29" s="2" t="n">
        <f>HYPERLINK("https://patentcenter.uspto.gov/applications/17037088","Patent Center")</f>
        <v>0.0</v>
      </c>
      <c r="H29" s="2" t="n">
        <f>HYPERLINK("https://worldwide.espacenet.com/patent/search?q=US20210111759","Espacenet")</f>
        <v>0.0</v>
      </c>
      <c r="I29" s="2" t="n">
        <f>HYPERLINK("https://ppubs.uspto.gov/pubwebapp/external.html?q=20210111759.pn.","USPTO")</f>
        <v>0.0</v>
      </c>
      <c r="J29" s="2" t="n">
        <f>HYPERLINK("https://image-ppubs.uspto.gov/dirsearch-public/print/downloadPdf/20210111759","USPTO PDF")</f>
        <v>0.0</v>
      </c>
      <c r="K29" s="2" t="n">
        <f>HYPERLINK("https://sectors.patentforecast.com/pmd/US20210111759","PMD")</f>
        <v>0.0</v>
      </c>
      <c r="L29" s="2" t="n">
        <f>HYPERLINK("https://globaldossier.uspto.gov/result/application/US/17037088/1","US20210111759")</f>
        <v>0.0</v>
      </c>
      <c r="M29" t="s">
        <v>242</v>
      </c>
      <c r="N29" t="s">
        <v>243</v>
      </c>
      <c r="O29" t="s">
        <v>244</v>
      </c>
      <c r="P29" t="s">
        <v>245</v>
      </c>
      <c r="Q29" s="3" t="n">
        <v>44103.0</v>
      </c>
      <c r="R29" s="3" t="n">
        <v>44301.0</v>
      </c>
      <c r="S29" s="3" t="n">
        <v>44303.11840096065</v>
      </c>
      <c r="T29" s="3" t="n">
        <v>44496.73416775463</v>
      </c>
      <c r="U29" t="s">
        <v>246</v>
      </c>
      <c r="V29" t="s">
        <v>247</v>
      </c>
    </row>
    <row r="30">
      <c r="A30" t="s">
        <v>22</v>
      </c>
      <c r="B30" t="s">
        <v>248</v>
      </c>
      <c r="C30" t="s">
        <v>168</v>
      </c>
      <c r="D30" t="s">
        <v>168</v>
      </c>
      <c r="E30" t="s">
        <v>249</v>
      </c>
      <c r="F30" s="2" t="n">
        <f>HYPERLINK("https://patents.google.com/patent/US20210106126","Google")</f>
        <v>0.0</v>
      </c>
      <c r="G30" s="2" t="n">
        <f>HYPERLINK("https://patentcenter.uspto.gov/applications/17068411","Patent Center")</f>
        <v>0.0</v>
      </c>
      <c r="H30" s="2" t="n">
        <f>HYPERLINK("https://worldwide.espacenet.com/patent/search?q=US20210106126","Espacenet")</f>
        <v>0.0</v>
      </c>
      <c r="I30" s="2" t="n">
        <f>HYPERLINK("https://ppubs.uspto.gov/pubwebapp/external.html?q=20210106126.pn.","USPTO")</f>
        <v>0.0</v>
      </c>
      <c r="J30" s="2" t="n">
        <f>HYPERLINK("https://image-ppubs.uspto.gov/dirsearch-public/print/downloadPdf/20210106126","USPTO PDF")</f>
        <v>0.0</v>
      </c>
      <c r="K30" s="2" t="n">
        <f>HYPERLINK("https://sectors.patentforecast.com/pmd/US20210106126","PMD")</f>
        <v>0.0</v>
      </c>
      <c r="L30" s="2" t="n">
        <f>HYPERLINK("https://globaldossier.uspto.gov/result/application/US/17068411/1","US20210106126")</f>
        <v>0.0</v>
      </c>
      <c r="M30" t="s">
        <v>250</v>
      </c>
      <c r="N30" t="s">
        <v>251</v>
      </c>
      <c r="O30" t="s">
        <v>252</v>
      </c>
      <c r="P30" t="s">
        <v>253</v>
      </c>
      <c r="Q30" s="3" t="n">
        <v>44116.0</v>
      </c>
      <c r="R30" s="3" t="n">
        <v>44301.0</v>
      </c>
      <c r="S30" s="3" t="n">
        <v>44302.871178587964</v>
      </c>
      <c r="T30" s="3" t="n">
        <v>44496.72162884259</v>
      </c>
      <c r="U30" t="s">
        <v>254</v>
      </c>
      <c r="V30" t="s">
        <v>255</v>
      </c>
    </row>
    <row r="31">
      <c r="A31" t="s">
        <v>22</v>
      </c>
      <c r="B31" t="s">
        <v>256</v>
      </c>
      <c r="C31" t="s">
        <v>61</v>
      </c>
      <c r="D31" t="s">
        <v>61</v>
      </c>
      <c r="E31" t="s">
        <v>257</v>
      </c>
      <c r="F31" s="2" t="n">
        <f>HYPERLINK("https://patents.google.com/patent/US20210098833","Google")</f>
        <v>0.0</v>
      </c>
      <c r="G31" s="2" t="n">
        <f>HYPERLINK("https://patentcenter.uspto.gov/applications/17021353","Patent Center")</f>
        <v>0.0</v>
      </c>
      <c r="H31" s="2" t="n">
        <f>HYPERLINK("https://worldwide.espacenet.com/patent/search?q=US20210098833","Espacenet")</f>
        <v>0.0</v>
      </c>
      <c r="I31" s="2" t="n">
        <f>HYPERLINK("https://ppubs.uspto.gov/pubwebapp/external.html?q=20210098833.pn.","USPTO")</f>
        <v>0.0</v>
      </c>
      <c r="J31" s="2" t="n">
        <f>HYPERLINK("https://image-ppubs.uspto.gov/dirsearch-public/print/downloadPdf/20210098833","USPTO PDF")</f>
        <v>0.0</v>
      </c>
      <c r="K31" s="2" t="n">
        <f>HYPERLINK("https://sectors.patentforecast.com/pmd/US20210098833","PMD")</f>
        <v>0.0</v>
      </c>
      <c r="L31" s="2" t="n">
        <f>HYPERLINK("https://globaldossier.uspto.gov/result/application/US/17021353/1","US20210098833")</f>
        <v>0.0</v>
      </c>
      <c r="M31" t="s">
        <v>258</v>
      </c>
      <c r="N31" t="s">
        <v>259</v>
      </c>
      <c r="O31" t="s">
        <v>260</v>
      </c>
      <c r="P31" t="s">
        <v>261</v>
      </c>
      <c r="Q31" s="3" t="n">
        <v>44089.0</v>
      </c>
      <c r="R31" s="3" t="n">
        <v>44287.0</v>
      </c>
      <c r="S31" s="3" t="n">
        <v>44288.85683579861</v>
      </c>
      <c r="T31" s="3" t="n">
        <v>44496.68958875</v>
      </c>
      <c r="U31" t="s">
        <v>262</v>
      </c>
      <c r="V31" t="s">
        <v>263</v>
      </c>
    </row>
    <row r="32">
      <c r="A32" t="s">
        <v>22</v>
      </c>
      <c r="B32" t="s">
        <v>264</v>
      </c>
      <c r="C32" t="s">
        <v>24</v>
      </c>
      <c r="D32" t="s">
        <v>25</v>
      </c>
      <c r="E32" t="s">
        <v>265</v>
      </c>
      <c r="F32" s="2" t="n">
        <f>HYPERLINK("https://patents.google.com/patent/US20210066927","Google")</f>
        <v>0.0</v>
      </c>
      <c r="G32" s="2" t="n">
        <f>HYPERLINK("https://patentcenter.uspto.gov/applications/16406750","Patent Center")</f>
        <v>0.0</v>
      </c>
      <c r="H32" s="2" t="n">
        <f>HYPERLINK("https://worldwide.espacenet.com/patent/search?q=US20210066927","Espacenet")</f>
        <v>0.0</v>
      </c>
      <c r="I32" s="2" t="n">
        <f>HYPERLINK("https://ppubs.uspto.gov/pubwebapp/external.html?q=20210066927.pn.","USPTO")</f>
        <v>0.0</v>
      </c>
      <c r="J32" s="2" t="n">
        <f>HYPERLINK("https://image-ppubs.uspto.gov/dirsearch-public/print/downloadPdf/20210066927","USPTO PDF")</f>
        <v>0.0</v>
      </c>
      <c r="K32" s="2" t="n">
        <f>HYPERLINK("https://sectors.patentforecast.com/pmd/US20210066927","PMD")</f>
        <v>0.0</v>
      </c>
      <c r="L32" s="2" t="n">
        <f>HYPERLINK("https://globaldossier.uspto.gov/result/application/US/16406750/1","US20210066927")</f>
        <v>0.0</v>
      </c>
      <c r="M32" t="s">
        <v>266</v>
      </c>
      <c r="N32" t="s">
        <v>267</v>
      </c>
      <c r="O32" t="s">
        <v>268</v>
      </c>
      <c r="P32" t="s">
        <v>269</v>
      </c>
      <c r="Q32" s="3" t="n">
        <v>43593.0</v>
      </c>
      <c r="R32" s="3" t="n">
        <v>44259.0</v>
      </c>
      <c r="S32" s="3" t="n">
        <v>44260.802899305556</v>
      </c>
      <c r="T32" s="3" t="n">
        <v>44497.466883333334</v>
      </c>
      <c r="U32" t="s">
        <v>270</v>
      </c>
      <c r="V32" t="s">
        <v>271</v>
      </c>
    </row>
    <row r="33">
      <c r="A33" t="s">
        <v>22</v>
      </c>
      <c r="B33" t="s">
        <v>272</v>
      </c>
      <c r="C33" t="s">
        <v>24</v>
      </c>
      <c r="D33" t="s">
        <v>25</v>
      </c>
      <c r="E33" t="s">
        <v>273</v>
      </c>
      <c r="F33" s="2" t="n">
        <f>HYPERLINK("https://patents.google.com/patent/US20210021294","Google")</f>
        <v>0.0</v>
      </c>
      <c r="G33" s="2" t="n">
        <f>HYPERLINK("https://patentcenter.uspto.gov/applications/16931742","Patent Center")</f>
        <v>0.0</v>
      </c>
      <c r="H33" s="2" t="n">
        <f>HYPERLINK("https://worldwide.espacenet.com/patent/search?q=US20210021294","Espacenet")</f>
        <v>0.0</v>
      </c>
      <c r="I33" s="2" t="n">
        <f>HYPERLINK("https://ppubs.uspto.gov/pubwebapp/external.html?q=20210021294.pn.","USPTO")</f>
        <v>0.0</v>
      </c>
      <c r="J33" s="2" t="n">
        <f>HYPERLINK("https://image-ppubs.uspto.gov/dirsearch-public/print/downloadPdf/20210021294","USPTO PDF")</f>
        <v>0.0</v>
      </c>
      <c r="K33" s="2" t="n">
        <f>HYPERLINK("https://sectors.patentforecast.com/pmd/US20210021294","PMD")</f>
        <v>0.0</v>
      </c>
      <c r="L33" s="2" t="n">
        <f>HYPERLINK("https://globaldossier.uspto.gov/result/application/US/16931742/1","US20210021294")</f>
        <v>0.0</v>
      </c>
      <c r="M33" t="s">
        <v>274</v>
      </c>
      <c r="N33" t="s">
        <v>275</v>
      </c>
      <c r="O33" t="s">
        <v>276</v>
      </c>
      <c r="P33" t="s">
        <v>277</v>
      </c>
      <c r="Q33" s="3" t="n">
        <v>44029.0</v>
      </c>
      <c r="R33" s="3" t="n">
        <v>44217.0</v>
      </c>
      <c r="S33" s="3" t="n">
        <v>44218.83322046296</v>
      </c>
      <c r="T33" s="3" t="n">
        <v>44496.69997671296</v>
      </c>
      <c r="U33" t="s">
        <v>278</v>
      </c>
      <c r="V33" t="s">
        <v>279</v>
      </c>
    </row>
    <row r="34">
      <c r="A34" t="s">
        <v>22</v>
      </c>
      <c r="B34" t="s">
        <v>280</v>
      </c>
      <c r="C34" t="s">
        <v>24</v>
      </c>
      <c r="D34" t="s">
        <v>25</v>
      </c>
      <c r="E34" t="s">
        <v>281</v>
      </c>
      <c r="F34" s="2" t="n">
        <f>HYPERLINK("https://patents.google.com/patent/US20210005850","Google")</f>
        <v>0.0</v>
      </c>
      <c r="G34" s="2" t="n">
        <f>HYPERLINK("https://patentcenter.uspto.gov/applications/17018602","Patent Center")</f>
        <v>0.0</v>
      </c>
      <c r="H34" s="2" t="n">
        <f>HYPERLINK("https://worldwide.espacenet.com/patent/search?q=US20210005850","Espacenet")</f>
        <v>0.0</v>
      </c>
      <c r="I34" s="2" t="n">
        <f>HYPERLINK("https://ppubs.uspto.gov/pubwebapp/external.html?q=20210005850.pn.","USPTO")</f>
        <v>0.0</v>
      </c>
      <c r="J34" s="2" t="n">
        <f>HYPERLINK("https://image-ppubs.uspto.gov/dirsearch-public/print/downloadPdf/20210005850","USPTO PDF")</f>
        <v>0.0</v>
      </c>
      <c r="K34" s="2" t="n">
        <f>HYPERLINK("https://sectors.patentforecast.com/pmd/US20210005850","PMD")</f>
        <v>0.0</v>
      </c>
      <c r="L34" s="2" t="n">
        <f>HYPERLINK("https://globaldossier.uspto.gov/result/application/US/17018602/1","US20210005850")</f>
        <v>0.0</v>
      </c>
      <c r="M34" t="s">
        <v>282</v>
      </c>
      <c r="N34" t="s">
        <v>283</v>
      </c>
      <c r="O34" t="s">
        <v>284</v>
      </c>
      <c r="P34" t="s">
        <v>285</v>
      </c>
      <c r="Q34" s="3" t="n">
        <v>44085.0</v>
      </c>
      <c r="R34" s="3" t="n">
        <v>44203.0</v>
      </c>
      <c r="S34" s="3" t="n">
        <v>44204.770491469906</v>
      </c>
      <c r="T34" s="3" t="n">
        <v>44496.68062665509</v>
      </c>
      <c r="U34" t="s">
        <v>228</v>
      </c>
      <c r="V34" t="s">
        <v>286</v>
      </c>
    </row>
    <row r="35">
      <c r="A35" t="s">
        <v>22</v>
      </c>
      <c r="B35" t="s">
        <v>287</v>
      </c>
      <c r="C35" t="s">
        <v>24</v>
      </c>
      <c r="D35" t="s">
        <v>25</v>
      </c>
      <c r="E35" t="s">
        <v>288</v>
      </c>
      <c r="F35" s="2" t="n">
        <f>HYPERLINK("https://patents.google.com/patent/US20200343493","Google")</f>
        <v>0.0</v>
      </c>
      <c r="G35" s="2" t="n">
        <f>HYPERLINK("https://patentcenter.uspto.gov/applications/16923742","Patent Center")</f>
        <v>0.0</v>
      </c>
      <c r="H35" s="2" t="n">
        <f>HYPERLINK("https://worldwide.espacenet.com/patent/search?q=US20200343493","Espacenet")</f>
        <v>0.0</v>
      </c>
      <c r="I35" s="2" t="n">
        <f>HYPERLINK("https://ppubs.uspto.gov/pubwebapp/external.html?q=20200343493.pn.","USPTO")</f>
        <v>0.0</v>
      </c>
      <c r="J35" s="2" t="n">
        <f>HYPERLINK("https://image-ppubs.uspto.gov/dirsearch-public/print/downloadPdf/20200343493","USPTO PDF")</f>
        <v>0.0</v>
      </c>
      <c r="K35" s="2" t="n">
        <f>HYPERLINK("https://sectors.patentforecast.com/pmd/US20200343493","PMD")</f>
        <v>0.0</v>
      </c>
      <c r="L35" s="2" t="n">
        <f>HYPERLINK("https://globaldossier.uspto.gov/result/application/US/16923742/1","US20200343493")</f>
        <v>0.0</v>
      </c>
      <c r="M35" t="s">
        <v>289</v>
      </c>
      <c r="N35" t="s">
        <v>283</v>
      </c>
      <c r="O35" t="s">
        <v>284</v>
      </c>
      <c r="P35" t="s">
        <v>285</v>
      </c>
      <c r="Q35" s="3" t="n">
        <v>44020.0</v>
      </c>
      <c r="R35" s="3" t="n">
        <v>44133.0</v>
      </c>
      <c r="S35" s="3" t="n">
        <v>44134.91701761574</v>
      </c>
      <c r="T35" s="3" t="n">
        <v>44495.68240726852</v>
      </c>
      <c r="U35" t="s">
        <v>290</v>
      </c>
      <c r="V35" t="s">
        <v>291</v>
      </c>
    </row>
    <row r="36">
      <c r="A36" t="s">
        <v>22</v>
      </c>
      <c r="B36" t="s">
        <v>292</v>
      </c>
      <c r="C36" t="s">
        <v>24</v>
      </c>
      <c r="D36" t="s">
        <v>25</v>
      </c>
      <c r="E36" t="s">
        <v>293</v>
      </c>
      <c r="F36" s="2" t="n">
        <f>HYPERLINK("https://patents.google.com/patent/US20200313610","Google")</f>
        <v>0.0</v>
      </c>
      <c r="G36" s="2" t="n">
        <f>HYPERLINK("https://patentcenter.uspto.gov/applications/16879346","Patent Center")</f>
        <v>0.0</v>
      </c>
      <c r="H36" s="2" t="n">
        <f>HYPERLINK("https://worldwide.espacenet.com/patent/search?q=US20200313610","Espacenet")</f>
        <v>0.0</v>
      </c>
      <c r="I36" s="2" t="n">
        <f>HYPERLINK("https://ppubs.uspto.gov/pubwebapp/external.html?q=20200313610.pn.","USPTO")</f>
        <v>0.0</v>
      </c>
      <c r="J36" s="2" t="n">
        <f>HYPERLINK("https://image-ppubs.uspto.gov/dirsearch-public/print/downloadPdf/20200313610","USPTO PDF")</f>
        <v>0.0</v>
      </c>
      <c r="K36" s="2" t="n">
        <f>HYPERLINK("https://sectors.patentforecast.com/pmd/US20200313610","PMD")</f>
        <v>0.0</v>
      </c>
      <c r="L36" s="2" t="n">
        <f>HYPERLINK("https://globaldossier.uspto.gov/result/application/US/16879346/1","US20200313610")</f>
        <v>0.0</v>
      </c>
      <c r="M36" t="s">
        <v>294</v>
      </c>
      <c r="N36" t="s">
        <v>283</v>
      </c>
      <c r="O36" t="s">
        <v>284</v>
      </c>
      <c r="P36" t="s">
        <v>295</v>
      </c>
      <c r="Q36" s="3" t="n">
        <v>43971.0</v>
      </c>
      <c r="R36" s="3" t="n">
        <v>44105.0</v>
      </c>
      <c r="S36" s="3" t="n">
        <v>44106.82083149305</v>
      </c>
      <c r="T36" s="3" t="n">
        <v>44495.60623988426</v>
      </c>
      <c r="U36" t="s">
        <v>296</v>
      </c>
      <c r="V36" t="s">
        <v>297</v>
      </c>
    </row>
    <row r="37">
      <c r="A37" t="s">
        <v>22</v>
      </c>
      <c r="B37" t="s">
        <v>298</v>
      </c>
      <c r="C37" t="s">
        <v>24</v>
      </c>
      <c r="D37" t="s">
        <v>25</v>
      </c>
      <c r="E37" t="s">
        <v>299</v>
      </c>
      <c r="F37" s="2" t="n">
        <f>HYPERLINK("https://patents.google.com/patent/US20200296565","Google")</f>
        <v>0.0</v>
      </c>
      <c r="G37" s="2" t="n">
        <f>HYPERLINK("https://patentcenter.uspto.gov/applications/16817484","Patent Center")</f>
        <v>0.0</v>
      </c>
      <c r="H37" s="2" t="n">
        <f>HYPERLINK("https://worldwide.espacenet.com/patent/search?q=US20200296565","Espacenet")</f>
        <v>0.0</v>
      </c>
      <c r="I37" s="2" t="n">
        <f>HYPERLINK("https://ppubs.uspto.gov/pubwebapp/external.html?q=20200296565.pn.","USPTO")</f>
        <v>0.0</v>
      </c>
      <c r="J37" s="2" t="n">
        <f>HYPERLINK("https://image-ppubs.uspto.gov/dirsearch-public/print/downloadPdf/20200296565","USPTO PDF")</f>
        <v>0.0</v>
      </c>
      <c r="K37" s="2" t="n">
        <f>HYPERLINK("https://sectors.patentforecast.com/pmd/US20200296565","PMD")</f>
        <v>0.0</v>
      </c>
      <c r="L37" s="2" t="n">
        <f>HYPERLINK("https://globaldossier.uspto.gov/result/application/US/16817484/1","US20200296565")</f>
        <v>0.0</v>
      </c>
      <c r="M37" t="s">
        <v>300</v>
      </c>
      <c r="N37" t="s">
        <v>301</v>
      </c>
      <c r="O37" t="s">
        <v>302</v>
      </c>
      <c r="P37" t="s">
        <v>303</v>
      </c>
      <c r="Q37" s="3" t="n">
        <v>43902.0</v>
      </c>
      <c r="R37" s="3" t="n">
        <v>44091.0</v>
      </c>
      <c r="S37" s="3" t="n">
        <v>44092.85335349537</v>
      </c>
      <c r="T37" s="3" t="n">
        <v>44495.580965787034</v>
      </c>
      <c r="U37" t="s">
        <v>304</v>
      </c>
      <c r="V37" t="s">
        <v>305</v>
      </c>
    </row>
    <row r="38">
      <c r="A38" t="s">
        <v>22</v>
      </c>
      <c r="B38" t="s">
        <v>306</v>
      </c>
      <c r="C38" t="s">
        <v>24</v>
      </c>
      <c r="D38" t="s">
        <v>25</v>
      </c>
      <c r="E38" t="s">
        <v>307</v>
      </c>
      <c r="F38" s="2" t="n">
        <f>HYPERLINK("https://patents.google.com/patent/US20200288089","Google")</f>
        <v>0.0</v>
      </c>
      <c r="G38" s="2" t="n">
        <f>HYPERLINK("https://patentcenter.uspto.gov/applications/16838615","Patent Center")</f>
        <v>0.0</v>
      </c>
      <c r="H38" s="2" t="n">
        <f>HYPERLINK("https://worldwide.espacenet.com/patent/search?q=US20200288089","Espacenet")</f>
        <v>0.0</v>
      </c>
      <c r="I38" s="2" t="n">
        <f>HYPERLINK("https://ppubs.uspto.gov/pubwebapp/external.html?q=20200288089.pn.","USPTO")</f>
        <v>0.0</v>
      </c>
      <c r="J38" s="2" t="n">
        <f>HYPERLINK("https://image-ppubs.uspto.gov/dirsearch-public/print/downloadPdf/20200288089","USPTO PDF")</f>
        <v>0.0</v>
      </c>
      <c r="K38" s="2" t="n">
        <f>HYPERLINK("https://sectors.patentforecast.com/pmd/US20200288089","PMD")</f>
        <v>0.0</v>
      </c>
      <c r="L38" s="2" t="n">
        <f>HYPERLINK("https://globaldossier.uspto.gov/result/application/US/16838615/1","US20200288089")</f>
        <v>0.0</v>
      </c>
      <c r="M38" t="s">
        <v>308</v>
      </c>
      <c r="N38" t="s">
        <v>283</v>
      </c>
      <c r="O38" t="s">
        <v>284</v>
      </c>
      <c r="P38" t="s">
        <v>285</v>
      </c>
      <c r="Q38" s="3" t="n">
        <v>43923.0</v>
      </c>
      <c r="R38" s="3" t="n">
        <v>44084.0</v>
      </c>
      <c r="S38" s="3" t="n">
        <v>44085.830556319444</v>
      </c>
      <c r="T38" s="3" t="n">
        <v>44495.56611409722</v>
      </c>
      <c r="U38" t="s">
        <v>309</v>
      </c>
      <c r="V38" t="s">
        <v>310</v>
      </c>
    </row>
    <row r="39">
      <c r="A39" t="s">
        <v>22</v>
      </c>
      <c r="B39" t="s">
        <v>311</v>
      </c>
      <c r="C39" t="s">
        <v>24</v>
      </c>
      <c r="D39" t="s">
        <v>25</v>
      </c>
      <c r="E39" t="s">
        <v>312</v>
      </c>
      <c r="F39" s="2" t="n">
        <f>HYPERLINK("https://patents.google.com/patent/US20200280622","Google")</f>
        <v>0.0</v>
      </c>
      <c r="G39" s="2" t="n">
        <f>HYPERLINK("https://patentcenter.uspto.gov/applications/16877767","Patent Center")</f>
        <v>0.0</v>
      </c>
      <c r="H39" s="2" t="n">
        <f>HYPERLINK("https://worldwide.espacenet.com/patent/search?q=US20200280622","Espacenet")</f>
        <v>0.0</v>
      </c>
      <c r="I39" s="2" t="n">
        <f>HYPERLINK("https://ppubs.uspto.gov/pubwebapp/external.html?q=20200280622.pn.","USPTO")</f>
        <v>0.0</v>
      </c>
      <c r="J39" s="2" t="n">
        <f>HYPERLINK("https://image-ppubs.uspto.gov/dirsearch-public/print/downloadPdf/20200280622","USPTO PDF")</f>
        <v>0.0</v>
      </c>
      <c r="K39" s="2" t="n">
        <f>HYPERLINK("https://sectors.patentforecast.com/pmd/US20200280622","PMD")</f>
        <v>0.0</v>
      </c>
      <c r="L39" s="2" t="n">
        <f>HYPERLINK("https://globaldossier.uspto.gov/result/application/US/16877767/1","US20200280622")</f>
        <v>0.0</v>
      </c>
      <c r="M39" t="s">
        <v>313</v>
      </c>
      <c r="N39" t="s">
        <v>314</v>
      </c>
      <c r="O39" t="s">
        <v>315</v>
      </c>
      <c r="P39" t="s">
        <v>316</v>
      </c>
      <c r="Q39" s="3" t="n">
        <v>43970.0</v>
      </c>
      <c r="R39" s="3" t="n">
        <v>44077.0</v>
      </c>
      <c r="S39" s="3" t="n">
        <v>44078.80775287037</v>
      </c>
      <c r="T39" s="3" t="n">
        <v>44495.489953020835</v>
      </c>
      <c r="U39" t="s">
        <v>317</v>
      </c>
      <c r="V39" t="s">
        <v>318</v>
      </c>
    </row>
    <row r="40">
      <c r="A40" t="s">
        <v>22</v>
      </c>
      <c r="B40" t="s">
        <v>319</v>
      </c>
      <c r="C40" t="s">
        <v>24</v>
      </c>
      <c r="D40" t="s">
        <v>25</v>
      </c>
      <c r="E40" t="s">
        <v>320</v>
      </c>
      <c r="F40" s="2" t="n">
        <f>HYPERLINK("https://patents.google.com/patent/US20200280349","Google")</f>
        <v>0.0</v>
      </c>
      <c r="G40" s="2" t="n">
        <f>HYPERLINK("https://patentcenter.uspto.gov/applications/16877421","Patent Center")</f>
        <v>0.0</v>
      </c>
      <c r="H40" s="2" t="n">
        <f>HYPERLINK("https://worldwide.espacenet.com/patent/search?q=US20200280349","Espacenet")</f>
        <v>0.0</v>
      </c>
      <c r="I40" s="2" t="n">
        <f>HYPERLINK("https://ppubs.uspto.gov/pubwebapp/external.html?q=20200280349.pn.","USPTO")</f>
        <v>0.0</v>
      </c>
      <c r="J40" s="2" t="n">
        <f>HYPERLINK("https://image-ppubs.uspto.gov/dirsearch-public/print/downloadPdf/20200280349","USPTO PDF")</f>
        <v>0.0</v>
      </c>
      <c r="K40" s="2" t="n">
        <f>HYPERLINK("https://sectors.patentforecast.com/pmd/US20200280349","PMD")</f>
        <v>0.0</v>
      </c>
      <c r="L40" s="2" t="n">
        <f>HYPERLINK("https://globaldossier.uspto.gov/result/application/US/16877421/1","US20200280349")</f>
        <v>0.0</v>
      </c>
      <c r="M40" t="s">
        <v>321</v>
      </c>
      <c r="N40" t="s">
        <v>154</v>
      </c>
      <c r="O40" t="s">
        <v>155</v>
      </c>
      <c r="P40" t="s">
        <v>156</v>
      </c>
      <c r="Q40" s="3" t="n">
        <v>43969.0</v>
      </c>
      <c r="R40" s="3" t="n">
        <v>44077.0</v>
      </c>
      <c r="S40" s="3" t="n">
        <v>44496.75751278935</v>
      </c>
      <c r="T40" s="3" t="n">
        <v>44496.76168258102</v>
      </c>
      <c r="U40" t="s">
        <v>322</v>
      </c>
      <c r="V40" t="s">
        <v>323</v>
      </c>
    </row>
    <row r="41">
      <c r="A41" t="s">
        <v>22</v>
      </c>
      <c r="B41" t="s">
        <v>324</v>
      </c>
      <c r="C41" t="s">
        <v>24</v>
      </c>
      <c r="D41" t="s">
        <v>25</v>
      </c>
      <c r="E41" t="s">
        <v>325</v>
      </c>
      <c r="F41" s="2" t="n">
        <f>HYPERLINK("https://patents.google.com/patent/US20200280122","Google")</f>
        <v>0.0</v>
      </c>
      <c r="G41" s="2" t="n">
        <f>HYPERLINK("https://patentcenter.uspto.gov/applications/16812765","Patent Center")</f>
        <v>0.0</v>
      </c>
      <c r="H41" s="2" t="n">
        <f>HYPERLINK("https://worldwide.espacenet.com/patent/search?q=US20200280122","Espacenet")</f>
        <v>0.0</v>
      </c>
      <c r="I41" s="2" t="n">
        <f>HYPERLINK("https://ppubs.uspto.gov/pubwebapp/external.html?q=20200280122.pn.","USPTO")</f>
        <v>0.0</v>
      </c>
      <c r="J41" s="2" t="n">
        <f>HYPERLINK("https://image-ppubs.uspto.gov/dirsearch-public/print/downloadPdf/20200280122","USPTO PDF")</f>
        <v>0.0</v>
      </c>
      <c r="K41" s="2" t="n">
        <f>HYPERLINK("https://sectors.patentforecast.com/pmd/US20200280122","PMD")</f>
        <v>0.0</v>
      </c>
      <c r="L41" s="2" t="n">
        <f>HYPERLINK("https://globaldossier.uspto.gov/result/application/US/16812765/1","US20200280122")</f>
        <v>0.0</v>
      </c>
      <c r="M41" t="s">
        <v>326</v>
      </c>
      <c r="N41" t="s">
        <v>314</v>
      </c>
      <c r="O41" t="s">
        <v>315</v>
      </c>
      <c r="P41" t="s">
        <v>316</v>
      </c>
      <c r="Q41" s="3" t="n">
        <v>43899.0</v>
      </c>
      <c r="R41" s="3" t="n">
        <v>44077.0</v>
      </c>
      <c r="S41" s="3" t="n">
        <v>44078.80833144676</v>
      </c>
      <c r="T41" s="3" t="n">
        <v>44495.489953020835</v>
      </c>
      <c r="U41" t="s">
        <v>327</v>
      </c>
      <c r="V41" t="s">
        <v>328</v>
      </c>
    </row>
    <row r="42">
      <c r="A42" t="s">
        <v>22</v>
      </c>
      <c r="B42" t="s">
        <v>329</v>
      </c>
      <c r="C42" t="s">
        <v>24</v>
      </c>
      <c r="D42" t="s">
        <v>25</v>
      </c>
      <c r="E42" t="s">
        <v>330</v>
      </c>
      <c r="F42" s="2" t="n">
        <f>HYPERLINK("https://patents.google.com/patent/US20200266668","Google")</f>
        <v>0.0</v>
      </c>
      <c r="G42" s="2" t="n">
        <f>HYPERLINK("https://patentcenter.uspto.gov/applications/16866328","Patent Center")</f>
        <v>0.0</v>
      </c>
      <c r="H42" s="2" t="n">
        <f>HYPERLINK("https://worldwide.espacenet.com/patent/search?q=US20200266668","Espacenet")</f>
        <v>0.0</v>
      </c>
      <c r="I42" s="2" t="n">
        <f>HYPERLINK("https://ppubs.uspto.gov/pubwebapp/external.html?q=20200266668.pn.","USPTO")</f>
        <v>0.0</v>
      </c>
      <c r="J42" s="2" t="n">
        <f>HYPERLINK("https://image-ppubs.uspto.gov/dirsearch-public/print/downloadPdf/20200266668","USPTO PDF")</f>
        <v>0.0</v>
      </c>
      <c r="K42" s="2" t="n">
        <f>HYPERLINK("https://sectors.patentforecast.com/pmd/US20200266668","PMD")</f>
        <v>0.0</v>
      </c>
      <c r="L42" s="2" t="n">
        <f>HYPERLINK("https://globaldossier.uspto.gov/result/application/US/16866328/1","US20200266668")</f>
        <v>0.0</v>
      </c>
      <c r="M42" t="s">
        <v>331</v>
      </c>
      <c r="N42" t="s">
        <v>332</v>
      </c>
      <c r="O42" t="s">
        <v>333</v>
      </c>
      <c r="P42" t="s">
        <v>334</v>
      </c>
      <c r="Q42" s="3" t="n">
        <v>43955.0</v>
      </c>
      <c r="R42" s="3" t="n">
        <v>44063.0</v>
      </c>
      <c r="S42" s="3" t="n">
        <v>44064.829279143516</v>
      </c>
      <c r="T42" s="3" t="n">
        <v>44495.46443753472</v>
      </c>
      <c r="U42" t="s">
        <v>335</v>
      </c>
      <c r="V42" t="s">
        <v>336</v>
      </c>
    </row>
    <row r="43">
      <c r="A43" t="s">
        <v>22</v>
      </c>
      <c r="B43" t="s">
        <v>337</v>
      </c>
      <c r="C43" t="s">
        <v>24</v>
      </c>
      <c r="D43" t="s">
        <v>25</v>
      </c>
      <c r="E43" t="s">
        <v>338</v>
      </c>
      <c r="F43" s="2" t="n">
        <f>HYPERLINK("https://patents.google.com/patent/US20200266639","Google")</f>
        <v>0.0</v>
      </c>
      <c r="G43" s="2" t="n">
        <f>HYPERLINK("https://patentcenter.uspto.gov/applications/16685547","Patent Center")</f>
        <v>0.0</v>
      </c>
      <c r="H43" s="2" t="n">
        <f>HYPERLINK("https://worldwide.espacenet.com/patent/search?q=US20200266639","Espacenet")</f>
        <v>0.0</v>
      </c>
      <c r="I43" s="2" t="n">
        <f>HYPERLINK("https://ppubs.uspto.gov/pubwebapp/external.html?q=20200266639.pn.","USPTO")</f>
        <v>0.0</v>
      </c>
      <c r="J43" s="2" t="n">
        <f>HYPERLINK("https://image-ppubs.uspto.gov/dirsearch-public/print/downloadPdf/20200266639","USPTO PDF")</f>
        <v>0.0</v>
      </c>
      <c r="K43" s="2" t="n">
        <f>HYPERLINK("https://sectors.patentforecast.com/pmd/US20200266639","PMD")</f>
        <v>0.0</v>
      </c>
      <c r="L43" s="2" t="n">
        <f>HYPERLINK("https://globaldossier.uspto.gov/result/application/US/16685547/1","US20200266639")</f>
        <v>0.0</v>
      </c>
      <c r="M43" t="s">
        <v>339</v>
      </c>
      <c r="N43" t="s">
        <v>283</v>
      </c>
      <c r="O43" t="s">
        <v>284</v>
      </c>
      <c r="P43" t="s">
        <v>285</v>
      </c>
      <c r="Q43" s="3" t="n">
        <v>43784.0</v>
      </c>
      <c r="R43" s="3" t="n">
        <v>44063.0</v>
      </c>
      <c r="S43" s="3" t="n">
        <v>44497.59686157407</v>
      </c>
      <c r="T43" s="3" t="n">
        <v>44497.66600267361</v>
      </c>
      <c r="U43" t="s">
        <v>340</v>
      </c>
      <c r="V43" t="s">
        <v>341</v>
      </c>
    </row>
    <row r="44">
      <c r="A44" t="s">
        <v>22</v>
      </c>
      <c r="B44" t="s">
        <v>342</v>
      </c>
      <c r="C44" t="s">
        <v>24</v>
      </c>
      <c r="D44" t="s">
        <v>25</v>
      </c>
      <c r="E44" t="s">
        <v>343</v>
      </c>
      <c r="F44" s="2" t="n">
        <f>HYPERLINK("https://patents.google.com/patent/US20200251929","Google")</f>
        <v>0.0</v>
      </c>
      <c r="G44" s="2" t="n">
        <f>HYPERLINK("https://patentcenter.uspto.gov/applications/16782214","Patent Center")</f>
        <v>0.0</v>
      </c>
      <c r="H44" s="2" t="n">
        <f>HYPERLINK("https://worldwide.espacenet.com/patent/search?q=US20200251929","Espacenet")</f>
        <v>0.0</v>
      </c>
      <c r="I44" s="2" t="n">
        <f>HYPERLINK("https://ppubs.uspto.gov/pubwebapp/external.html?q=20200251929.pn.","USPTO")</f>
        <v>0.0</v>
      </c>
      <c r="J44" s="2" t="n">
        <f>HYPERLINK("https://image-ppubs.uspto.gov/dirsearch-public/print/downloadPdf/20200251929","USPTO PDF")</f>
        <v>0.0</v>
      </c>
      <c r="K44" s="2" t="n">
        <f>HYPERLINK("https://sectors.patentforecast.com/pmd/US20200251929","PMD")</f>
        <v>0.0</v>
      </c>
      <c r="L44" s="2" t="n">
        <f>HYPERLINK("https://globaldossier.uspto.gov/result/application/US/16782214/1","US20200251929")</f>
        <v>0.0</v>
      </c>
      <c r="M44" t="s">
        <v>344</v>
      </c>
      <c r="N44" t="s">
        <v>345</v>
      </c>
      <c r="O44" t="s">
        <v>346</v>
      </c>
      <c r="P44" t="s">
        <v>347</v>
      </c>
      <c r="Q44" s="3" t="n">
        <v>43866.0</v>
      </c>
      <c r="R44" s="3" t="n">
        <v>44049.0</v>
      </c>
      <c r="S44" s="3" t="n">
        <v>44050.82806907407</v>
      </c>
      <c r="T44" s="3" t="n">
        <v>44495.42604681713</v>
      </c>
      <c r="U44" t="s">
        <v>348</v>
      </c>
      <c r="V44" t="s">
        <v>349</v>
      </c>
    </row>
    <row r="45">
      <c r="A45" t="s">
        <v>22</v>
      </c>
      <c r="B45" t="s">
        <v>350</v>
      </c>
      <c r="C45" t="s">
        <v>24</v>
      </c>
      <c r="D45" t="s">
        <v>25</v>
      </c>
      <c r="E45" t="s">
        <v>351</v>
      </c>
      <c r="F45" s="2" t="n">
        <f>HYPERLINK("https://patents.google.com/patent/US20200244790","Google")</f>
        <v>0.0</v>
      </c>
      <c r="G45" s="2" t="n">
        <f>HYPERLINK("https://patentcenter.uspto.gov/applications/16635004","Patent Center")</f>
        <v>0.0</v>
      </c>
      <c r="H45" s="2" t="n">
        <f>HYPERLINK("https://worldwide.espacenet.com/patent/search?q=US20200244790","Espacenet")</f>
        <v>0.0</v>
      </c>
      <c r="I45" s="2" t="n">
        <f>HYPERLINK("https://ppubs.uspto.gov/pubwebapp/external.html?q=20200244790.pn.","USPTO")</f>
        <v>0.0</v>
      </c>
      <c r="J45" s="2" t="n">
        <f>HYPERLINK("https://image-ppubs.uspto.gov/dirsearch-public/print/downloadPdf/20200244790","USPTO PDF")</f>
        <v>0.0</v>
      </c>
      <c r="K45" s="2" t="n">
        <f>HYPERLINK("https://sectors.patentforecast.com/pmd/US20200244790","PMD")</f>
        <v>0.0</v>
      </c>
      <c r="L45" s="2" t="n">
        <f>HYPERLINK("https://globaldossier.uspto.gov/result/application/US/16635004/1","US20200244790")</f>
        <v>0.0</v>
      </c>
      <c r="M45" t="s">
        <v>352</v>
      </c>
      <c r="N45" t="s">
        <v>353</v>
      </c>
      <c r="O45" t="s">
        <v>354</v>
      </c>
      <c r="P45" t="s">
        <v>355</v>
      </c>
      <c r="Q45" s="3" t="n">
        <v>43305.0</v>
      </c>
      <c r="R45" s="3" t="n">
        <v>44042.0</v>
      </c>
      <c r="S45" s="3" t="n">
        <v>44043.8297116088</v>
      </c>
      <c r="T45" s="3" t="n">
        <v>44495.41064136574</v>
      </c>
      <c r="U45" t="s">
        <v>356</v>
      </c>
      <c r="V45" t="s">
        <v>357</v>
      </c>
    </row>
    <row r="46">
      <c r="A46" t="s">
        <v>22</v>
      </c>
      <c r="B46" t="s">
        <v>358</v>
      </c>
      <c r="C46" t="s">
        <v>24</v>
      </c>
      <c r="D46" t="s">
        <v>25</v>
      </c>
      <c r="E46" t="s">
        <v>359</v>
      </c>
      <c r="F46" s="2" t="n">
        <f>HYPERLINK("https://patents.google.com/patent/US20200236526","Google")</f>
        <v>0.0</v>
      </c>
      <c r="G46" s="2" t="n">
        <f>HYPERLINK("https://patentcenter.uspto.gov/applications/16838267","Patent Center")</f>
        <v>0.0</v>
      </c>
      <c r="H46" s="2" t="n">
        <f>HYPERLINK("https://worldwide.espacenet.com/patent/search?q=US20200236526","Espacenet")</f>
        <v>0.0</v>
      </c>
      <c r="I46" s="2" t="n">
        <f>HYPERLINK("https://ppubs.uspto.gov/pubwebapp/external.html?q=20200236526.pn.","USPTO")</f>
        <v>0.0</v>
      </c>
      <c r="J46" s="2" t="n">
        <f>HYPERLINK("https://image-ppubs.uspto.gov/dirsearch-public/print/downloadPdf/20200236526","USPTO PDF")</f>
        <v>0.0</v>
      </c>
      <c r="K46" s="2" t="n">
        <f>HYPERLINK("https://sectors.patentforecast.com/pmd/US20200236526","PMD")</f>
        <v>0.0</v>
      </c>
      <c r="L46" s="2" t="n">
        <f>HYPERLINK("https://globaldossier.uspto.gov/result/application/US/16838267/1","US20200236526")</f>
        <v>0.0</v>
      </c>
      <c r="M46" t="s">
        <v>360</v>
      </c>
      <c r="N46" t="s">
        <v>187</v>
      </c>
      <c r="O46" t="s">
        <v>188</v>
      </c>
      <c r="P46" t="s">
        <v>189</v>
      </c>
      <c r="Q46" s="3" t="n">
        <v>43923.0</v>
      </c>
      <c r="R46" s="3" t="n">
        <v>44035.0</v>
      </c>
      <c r="S46" s="3" t="n">
        <v>44036.824757256945</v>
      </c>
      <c r="T46" s="3" t="n">
        <v>44494.75033541667</v>
      </c>
      <c r="U46" t="s">
        <v>361</v>
      </c>
      <c r="V46" t="s">
        <v>362</v>
      </c>
    </row>
    <row r="47">
      <c r="A47" t="s">
        <v>22</v>
      </c>
      <c r="B47" t="s">
        <v>363</v>
      </c>
      <c r="C47" t="s">
        <v>24</v>
      </c>
      <c r="D47" t="s">
        <v>25</v>
      </c>
      <c r="E47" t="s">
        <v>364</v>
      </c>
      <c r="F47" s="2" t="n">
        <f>HYPERLINK("https://patents.google.com/patent/US20200228156","Google")</f>
        <v>0.0</v>
      </c>
      <c r="G47" s="2" t="n">
        <f>HYPERLINK("https://patentcenter.uspto.gov/applications/16739944","Patent Center")</f>
        <v>0.0</v>
      </c>
      <c r="H47" s="2" t="n">
        <f>HYPERLINK("https://worldwide.espacenet.com/patent/search?q=US20200228156","Espacenet")</f>
        <v>0.0</v>
      </c>
      <c r="I47" s="2" t="n">
        <f>HYPERLINK("https://ppubs.uspto.gov/pubwebapp/external.html?q=20200228156.pn.","USPTO")</f>
        <v>0.0</v>
      </c>
      <c r="J47" s="2" t="n">
        <f>HYPERLINK("https://image-ppubs.uspto.gov/dirsearch-public/print/downloadPdf/20200228156","USPTO PDF")</f>
        <v>0.0</v>
      </c>
      <c r="K47" s="2" t="n">
        <f>HYPERLINK("https://sectors.patentforecast.com/pmd/US20200228156","PMD")</f>
        <v>0.0</v>
      </c>
      <c r="L47" s="2" t="n">
        <f>HYPERLINK("https://globaldossier.uspto.gov/result/application/US/16739944/1","US20200228156")</f>
        <v>0.0</v>
      </c>
      <c r="M47" t="s">
        <v>365</v>
      </c>
      <c r="N47" t="s">
        <v>366</v>
      </c>
      <c r="O47" t="s">
        <v>367</v>
      </c>
      <c r="P47" t="s">
        <v>368</v>
      </c>
      <c r="Q47" s="3" t="n">
        <v>43840.0</v>
      </c>
      <c r="R47" s="3" t="n">
        <v>44028.0</v>
      </c>
      <c r="S47" s="3" t="n">
        <v>44029.89083502315</v>
      </c>
      <c r="T47" s="3" t="n">
        <v>44494.727702916665</v>
      </c>
      <c r="U47" t="s">
        <v>369</v>
      </c>
      <c r="V47" t="s">
        <v>370</v>
      </c>
    </row>
    <row r="48">
      <c r="A48" t="s">
        <v>22</v>
      </c>
      <c r="B48" t="s">
        <v>371</v>
      </c>
      <c r="C48" t="s">
        <v>61</v>
      </c>
      <c r="D48" t="s">
        <v>61</v>
      </c>
      <c r="E48" t="s">
        <v>372</v>
      </c>
      <c r="F48" s="2" t="n">
        <f>HYPERLINK("https://patents.google.com/patent/US20200225684","Google")</f>
        <v>0.0</v>
      </c>
      <c r="G48" s="2" t="n">
        <f>HYPERLINK("https://patentcenter.uspto.gov/applications/16833491","Patent Center")</f>
        <v>0.0</v>
      </c>
      <c r="H48" s="2" t="n">
        <f>HYPERLINK("https://worldwide.espacenet.com/patent/search?q=US20200225684","Espacenet")</f>
        <v>0.0</v>
      </c>
      <c r="I48" s="2" t="n">
        <f>HYPERLINK("https://ppubs.uspto.gov/pubwebapp/external.html?q=20200225684.pn.","USPTO")</f>
        <v>0.0</v>
      </c>
      <c r="J48" s="2" t="n">
        <f>HYPERLINK("https://image-ppubs.uspto.gov/dirsearch-public/print/downloadPdf/20200225684","USPTO PDF")</f>
        <v>0.0</v>
      </c>
      <c r="K48" s="2" t="n">
        <f>HYPERLINK("https://sectors.patentforecast.com/pmd/US20200225684","PMD")</f>
        <v>0.0</v>
      </c>
      <c r="L48" s="2" t="n">
        <f>HYPERLINK("https://globaldossier.uspto.gov/result/application/US/16833491/1","US20200225684")</f>
        <v>0.0</v>
      </c>
      <c r="M48" t="s">
        <v>373</v>
      </c>
      <c r="N48" t="s">
        <v>374</v>
      </c>
      <c r="O48" t="s">
        <v>375</v>
      </c>
      <c r="P48" t="s">
        <v>376</v>
      </c>
      <c r="Q48" s="3" t="n">
        <v>43917.0</v>
      </c>
      <c r="R48" s="3" t="n">
        <v>44028.0</v>
      </c>
      <c r="S48" s="3" t="n">
        <v>44029.873590104165</v>
      </c>
      <c r="T48" s="3" t="n">
        <v>44494.73215054398</v>
      </c>
      <c r="U48" t="s">
        <v>377</v>
      </c>
      <c r="V48" t="s">
        <v>378</v>
      </c>
    </row>
    <row r="49">
      <c r="A49" t="s">
        <v>22</v>
      </c>
      <c r="B49" t="s">
        <v>379</v>
      </c>
      <c r="C49" t="s">
        <v>61</v>
      </c>
      <c r="D49" t="s">
        <v>61</v>
      </c>
      <c r="E49" t="s">
        <v>380</v>
      </c>
      <c r="F49" s="2" t="n">
        <f>HYPERLINK("https://patents.google.com/patent/US20200205062","Google")</f>
        <v>0.0</v>
      </c>
      <c r="G49" s="2" t="n">
        <f>HYPERLINK("https://patentcenter.uspto.gov/applications/16804038","Patent Center")</f>
        <v>0.0</v>
      </c>
      <c r="H49" s="2" t="n">
        <f>HYPERLINK("https://worldwide.espacenet.com/patent/search?q=US20200205062","Espacenet")</f>
        <v>0.0</v>
      </c>
      <c r="I49" s="2" t="n">
        <f>HYPERLINK("https://ppubs.uspto.gov/pubwebapp/external.html?q=20200205062.pn.","USPTO")</f>
        <v>0.0</v>
      </c>
      <c r="J49" s="2" t="n">
        <f>HYPERLINK("https://image-ppubs.uspto.gov/dirsearch-public/print/downloadPdf/20200205062","USPTO PDF")</f>
        <v>0.0</v>
      </c>
      <c r="K49" s="2" t="n">
        <f>HYPERLINK("https://sectors.patentforecast.com/pmd/US20200205062","PMD")</f>
        <v>0.0</v>
      </c>
      <c r="L49" s="2" t="n">
        <f>HYPERLINK("https://globaldossier.uspto.gov/result/application/US/16804038/1","US20200205062")</f>
        <v>0.0</v>
      </c>
      <c r="M49" t="s">
        <v>381</v>
      </c>
      <c r="N49" t="s">
        <v>382</v>
      </c>
      <c r="O49" t="s">
        <v>383</v>
      </c>
      <c r="P49" t="s">
        <v>384</v>
      </c>
      <c r="Q49" s="3" t="n">
        <v>43889.0</v>
      </c>
      <c r="R49" s="3" t="n">
        <v>44007.0</v>
      </c>
      <c r="S49" s="3" t="n">
        <v>44008.824956516204</v>
      </c>
      <c r="T49" s="3" t="n">
        <v>44494.660789953705</v>
      </c>
      <c r="U49" t="s">
        <v>385</v>
      </c>
      <c r="V49" t="s">
        <v>386</v>
      </c>
    </row>
    <row r="50">
      <c r="A50" t="s">
        <v>22</v>
      </c>
      <c r="B50" t="s">
        <v>387</v>
      </c>
      <c r="C50" t="s">
        <v>24</v>
      </c>
      <c r="D50" t="s">
        <v>25</v>
      </c>
      <c r="E50" t="s">
        <v>388</v>
      </c>
      <c r="F50" s="2" t="n">
        <f>HYPERLINK("https://patents.google.com/patent/US20200204208","Google")</f>
        <v>0.0</v>
      </c>
      <c r="G50" s="2" t="n">
        <f>HYPERLINK("https://patentcenter.uspto.gov/applications/16749013","Patent Center")</f>
        <v>0.0</v>
      </c>
      <c r="H50" s="2" t="n">
        <f>HYPERLINK("https://worldwide.espacenet.com/patent/search?q=US20200204208","Espacenet")</f>
        <v>0.0</v>
      </c>
      <c r="I50" s="2" t="n">
        <f>HYPERLINK("https://ppubs.uspto.gov/pubwebapp/external.html?q=20200204208.pn.","USPTO")</f>
        <v>0.0</v>
      </c>
      <c r="J50" s="2" t="n">
        <f>HYPERLINK("https://image-ppubs.uspto.gov/dirsearch-public/print/downloadPdf/20200204208","USPTO PDF")</f>
        <v>0.0</v>
      </c>
      <c r="K50" s="2" t="n">
        <f>HYPERLINK("https://sectors.patentforecast.com/pmd/US20200204208","PMD")</f>
        <v>0.0</v>
      </c>
      <c r="L50" s="2" t="n">
        <f>HYPERLINK("https://globaldossier.uspto.gov/result/application/US/16749013/1","US20200204208")</f>
        <v>0.0</v>
      </c>
      <c r="M50" t="s">
        <v>389</v>
      </c>
      <c r="N50" t="s">
        <v>390</v>
      </c>
      <c r="O50" t="s">
        <v>391</v>
      </c>
      <c r="P50" t="s">
        <v>392</v>
      </c>
      <c r="Q50" s="3" t="n">
        <v>43852.0</v>
      </c>
      <c r="R50" s="3" t="n">
        <v>44007.0</v>
      </c>
      <c r="S50" s="3" t="n">
        <v>44008.8331684375</v>
      </c>
      <c r="T50" s="3" t="n">
        <v>44494.65909533565</v>
      </c>
      <c r="U50" t="s">
        <v>393</v>
      </c>
      <c r="V50" t="s">
        <v>394</v>
      </c>
    </row>
    <row r="51">
      <c r="A51" t="s">
        <v>22</v>
      </c>
      <c r="B51" t="s">
        <v>395</v>
      </c>
      <c r="C51" t="s">
        <v>24</v>
      </c>
      <c r="D51" t="s">
        <v>25</v>
      </c>
      <c r="E51" t="s">
        <v>396</v>
      </c>
      <c r="F51" s="2" t="n">
        <f>HYPERLINK("https://patents.google.com/patent/US20200203966","Google")</f>
        <v>0.0</v>
      </c>
      <c r="G51" s="2" t="n">
        <f>HYPERLINK("https://patentcenter.uspto.gov/applications/16805706","Patent Center")</f>
        <v>0.0</v>
      </c>
      <c r="H51" s="2" t="n">
        <f>HYPERLINK("https://worldwide.espacenet.com/patent/search?q=US20200203966","Espacenet")</f>
        <v>0.0</v>
      </c>
      <c r="I51" s="2" t="n">
        <f>HYPERLINK("https://ppubs.uspto.gov/pubwebapp/external.html?q=20200203966.pn.","USPTO")</f>
        <v>0.0</v>
      </c>
      <c r="J51" s="2" t="n">
        <f>HYPERLINK("https://image-ppubs.uspto.gov/dirsearch-public/print/downloadPdf/20200203966","USPTO PDF")</f>
        <v>0.0</v>
      </c>
      <c r="K51" s="2" t="n">
        <f>HYPERLINK("https://sectors.patentforecast.com/pmd/US20200203966","PMD")</f>
        <v>0.0</v>
      </c>
      <c r="L51" s="2" t="n">
        <f>HYPERLINK("https://globaldossier.uspto.gov/result/application/US/16805706/1","US20200203966")</f>
        <v>0.0</v>
      </c>
      <c r="M51" t="s">
        <v>397</v>
      </c>
      <c r="N51" t="s">
        <v>398</v>
      </c>
      <c r="O51" t="s">
        <v>399</v>
      </c>
      <c r="P51" t="s">
        <v>400</v>
      </c>
      <c r="Q51" s="3" t="n">
        <v>43890.0</v>
      </c>
      <c r="R51" s="3" t="n">
        <v>44007.0</v>
      </c>
      <c r="S51" s="3" t="n">
        <v>44008.84891346065</v>
      </c>
      <c r="T51" s="3" t="n">
        <v>44494.6641205787</v>
      </c>
      <c r="U51" t="s">
        <v>401</v>
      </c>
      <c r="V51" t="s">
        <v>402</v>
      </c>
    </row>
    <row r="52">
      <c r="A52" t="s">
        <v>22</v>
      </c>
      <c r="B52" t="s">
        <v>403</v>
      </c>
      <c r="C52" t="s">
        <v>61</v>
      </c>
      <c r="D52" t="s">
        <v>61</v>
      </c>
      <c r="E52" t="s">
        <v>404</v>
      </c>
      <c r="F52" s="2" t="n">
        <f>HYPERLINK("https://patents.google.com/patent/US20200195339","Google")</f>
        <v>0.0</v>
      </c>
      <c r="G52" s="2" t="n">
        <f>HYPERLINK("https://patentcenter.uspto.gov/applications/16613158","Patent Center")</f>
        <v>0.0</v>
      </c>
      <c r="H52" s="2" t="n">
        <f>HYPERLINK("https://worldwide.espacenet.com/patent/search?q=US20200195339","Espacenet")</f>
        <v>0.0</v>
      </c>
      <c r="I52" s="2" t="n">
        <f>HYPERLINK("https://ppubs.uspto.gov/pubwebapp/external.html?q=20200195339.pn.","USPTO")</f>
        <v>0.0</v>
      </c>
      <c r="J52" s="2" t="n">
        <f>HYPERLINK("https://image-ppubs.uspto.gov/dirsearch-public/print/downloadPdf/20200195339","USPTO PDF")</f>
        <v>0.0</v>
      </c>
      <c r="K52" s="2" t="n">
        <f>HYPERLINK("https://sectors.patentforecast.com/pmd/US20200195339","PMD")</f>
        <v>0.0</v>
      </c>
      <c r="L52" s="2" t="n">
        <f>HYPERLINK("https://globaldossier.uspto.gov/result/application/US/16613158/1","US20200195339")</f>
        <v>0.0</v>
      </c>
      <c r="M52" t="s">
        <v>405</v>
      </c>
      <c r="N52" t="s">
        <v>406</v>
      </c>
      <c r="O52" t="s">
        <v>407</v>
      </c>
      <c r="P52" t="s">
        <v>408</v>
      </c>
      <c r="Q52" s="3" t="n">
        <v>43236.0</v>
      </c>
      <c r="R52" s="3" t="n">
        <v>44000.0</v>
      </c>
      <c r="S52" s="3" t="n">
        <v>44001.8140175463</v>
      </c>
      <c r="T52" s="3" t="n">
        <v>44494.611302847225</v>
      </c>
      <c r="U52" t="s">
        <v>409</v>
      </c>
      <c r="V52" t="s">
        <v>410</v>
      </c>
    </row>
    <row r="53">
      <c r="A53" t="s">
        <v>22</v>
      </c>
      <c r="B53" t="s">
        <v>411</v>
      </c>
      <c r="C53" t="s">
        <v>24</v>
      </c>
      <c r="D53" t="s">
        <v>25</v>
      </c>
      <c r="E53" t="s">
        <v>412</v>
      </c>
      <c r="F53" s="2" t="n">
        <f>HYPERLINK("https://patents.google.com/patent/US20200195338","Google")</f>
        <v>0.0</v>
      </c>
      <c r="G53" s="2" t="n">
        <f>HYPERLINK("https://patentcenter.uspto.gov/applications/16569862","Patent Center")</f>
        <v>0.0</v>
      </c>
      <c r="H53" s="2" t="n">
        <f>HYPERLINK("https://worldwide.espacenet.com/patent/search?q=US20200195338","Espacenet")</f>
        <v>0.0</v>
      </c>
      <c r="I53" s="2" t="n">
        <f>HYPERLINK("https://ppubs.uspto.gov/pubwebapp/external.html?q=20200195338.pn.","USPTO")</f>
        <v>0.0</v>
      </c>
      <c r="J53" s="2" t="n">
        <f>HYPERLINK("https://image-ppubs.uspto.gov/dirsearch-public/print/downloadPdf/20200195338","USPTO PDF")</f>
        <v>0.0</v>
      </c>
      <c r="K53" s="2" t="n">
        <f>HYPERLINK("https://sectors.patentforecast.com/pmd/US20200195338","PMD")</f>
        <v>0.0</v>
      </c>
      <c r="L53" s="2" t="n">
        <f>HYPERLINK("https://globaldossier.uspto.gov/result/application/US/16569862/1","US20200195338")</f>
        <v>0.0</v>
      </c>
      <c r="M53" t="s">
        <v>413</v>
      </c>
      <c r="N53" t="s">
        <v>390</v>
      </c>
      <c r="O53" t="s">
        <v>391</v>
      </c>
      <c r="P53" t="s">
        <v>414</v>
      </c>
      <c r="Q53" s="3" t="n">
        <v>43721.0</v>
      </c>
      <c r="R53" s="3" t="n">
        <v>44000.0</v>
      </c>
      <c r="S53" s="3" t="n">
        <v>44001.836472337964</v>
      </c>
      <c r="T53" s="3" t="n">
        <v>44494.64461625</v>
      </c>
      <c r="U53" t="s">
        <v>415</v>
      </c>
      <c r="V53" t="s">
        <v>416</v>
      </c>
    </row>
    <row r="54">
      <c r="A54" t="s">
        <v>22</v>
      </c>
      <c r="B54" t="s">
        <v>417</v>
      </c>
      <c r="C54" t="s">
        <v>24</v>
      </c>
      <c r="D54" t="s">
        <v>25</v>
      </c>
      <c r="E54" t="s">
        <v>418</v>
      </c>
      <c r="F54" s="2" t="n">
        <f>HYPERLINK("https://patents.google.com/patent/US20200195304","Google")</f>
        <v>0.0</v>
      </c>
      <c r="G54" s="2" t="n">
        <f>HYPERLINK("https://patentcenter.uspto.gov/applications/16219548","Patent Center")</f>
        <v>0.0</v>
      </c>
      <c r="H54" s="2" t="n">
        <f>HYPERLINK("https://worldwide.espacenet.com/patent/search?q=US20200195304","Espacenet")</f>
        <v>0.0</v>
      </c>
      <c r="I54" s="2" t="n">
        <f>HYPERLINK("https://ppubs.uspto.gov/pubwebapp/external.html?q=20200195304.pn.","USPTO")</f>
        <v>0.0</v>
      </c>
      <c r="J54" s="2" t="n">
        <f>HYPERLINK("https://image-ppubs.uspto.gov/dirsearch-public/print/downloadPdf/20200195304","USPTO PDF")</f>
        <v>0.0</v>
      </c>
      <c r="K54" s="2" t="n">
        <f>HYPERLINK("https://sectors.patentforecast.com/pmd/US20200195304","PMD")</f>
        <v>0.0</v>
      </c>
      <c r="L54" s="2" t="n">
        <f>HYPERLINK("https://globaldossier.uspto.gov/result/application/US/16219548/1","US20200195304")</f>
        <v>0.0</v>
      </c>
      <c r="M54" t="s">
        <v>419</v>
      </c>
      <c r="N54" t="s">
        <v>390</v>
      </c>
      <c r="O54" t="s">
        <v>391</v>
      </c>
      <c r="P54" t="s">
        <v>420</v>
      </c>
      <c r="Q54" s="3" t="n">
        <v>43447.0</v>
      </c>
      <c r="R54" s="3" t="n">
        <v>44000.0</v>
      </c>
      <c r="S54" s="3" t="n">
        <v>44001.836472337964</v>
      </c>
      <c r="T54" s="3" t="n">
        <v>44494.643698796295</v>
      </c>
      <c r="U54" t="s">
        <v>421</v>
      </c>
      <c r="V54" t="s">
        <v>422</v>
      </c>
    </row>
    <row r="55">
      <c r="A55" t="s">
        <v>22</v>
      </c>
      <c r="B55" t="s">
        <v>423</v>
      </c>
      <c r="C55" t="s">
        <v>24</v>
      </c>
      <c r="D55" t="s">
        <v>25</v>
      </c>
      <c r="E55" t="s">
        <v>424</v>
      </c>
      <c r="F55" s="2" t="n">
        <f>HYPERLINK("https://patents.google.com/patent/US20200195303","Google")</f>
        <v>0.0</v>
      </c>
      <c r="G55" s="2" t="n">
        <f>HYPERLINK("https://patentcenter.uspto.gov/applications/16219411","Patent Center")</f>
        <v>0.0</v>
      </c>
      <c r="H55" s="2" t="n">
        <f>HYPERLINK("https://worldwide.espacenet.com/patent/search?q=US20200195303","Espacenet")</f>
        <v>0.0</v>
      </c>
      <c r="I55" s="2" t="n">
        <f>HYPERLINK("https://ppubs.uspto.gov/pubwebapp/external.html?q=20200195303.pn.","USPTO")</f>
        <v>0.0</v>
      </c>
      <c r="J55" s="2" t="n">
        <f>HYPERLINK("https://image-ppubs.uspto.gov/dirsearch-public/print/downloadPdf/20200195303","USPTO PDF")</f>
        <v>0.0</v>
      </c>
      <c r="K55" s="2" t="n">
        <f>HYPERLINK("https://sectors.patentforecast.com/pmd/US20200195303","PMD")</f>
        <v>0.0</v>
      </c>
      <c r="L55" s="2" t="n">
        <f>HYPERLINK("https://globaldossier.uspto.gov/result/application/US/16219411/1","US20200195303")</f>
        <v>0.0</v>
      </c>
      <c r="M55" t="s">
        <v>425</v>
      </c>
      <c r="N55" t="s">
        <v>390</v>
      </c>
      <c r="O55" t="s">
        <v>391</v>
      </c>
      <c r="P55" t="s">
        <v>426</v>
      </c>
      <c r="Q55" s="3" t="n">
        <v>43447.0</v>
      </c>
      <c r="R55" s="3" t="n">
        <v>44000.0</v>
      </c>
      <c r="S55" s="3" t="n">
        <v>44001.836472337964</v>
      </c>
      <c r="T55" s="3" t="n">
        <v>44494.64461625</v>
      </c>
      <c r="U55" t="s">
        <v>427</v>
      </c>
      <c r="V55" t="s">
        <v>428</v>
      </c>
    </row>
    <row r="56">
      <c r="A56" t="s">
        <v>22</v>
      </c>
      <c r="B56" t="s">
        <v>429</v>
      </c>
      <c r="C56" t="s">
        <v>24</v>
      </c>
      <c r="D56" t="s">
        <v>25</v>
      </c>
      <c r="E56" t="s">
        <v>430</v>
      </c>
      <c r="F56" s="2" t="n">
        <f>HYPERLINK("https://patents.google.com/patent/US20200194875","Google")</f>
        <v>0.0</v>
      </c>
      <c r="G56" s="2" t="n">
        <f>HYPERLINK("https://patentcenter.uspto.gov/applications/16718001","Patent Center")</f>
        <v>0.0</v>
      </c>
      <c r="H56" s="2" t="n">
        <f>HYPERLINK("https://worldwide.espacenet.com/patent/search?q=US20200194875","Espacenet")</f>
        <v>0.0</v>
      </c>
      <c r="I56" s="2" t="n">
        <f>HYPERLINK("https://ppubs.uspto.gov/pubwebapp/external.html?q=20200194875.pn.","USPTO")</f>
        <v>0.0</v>
      </c>
      <c r="J56" s="2" t="n">
        <f>HYPERLINK("https://image-ppubs.uspto.gov/dirsearch-public/print/downloadPdf/20200194875","USPTO PDF")</f>
        <v>0.0</v>
      </c>
      <c r="K56" s="2" t="n">
        <f>HYPERLINK("https://sectors.patentforecast.com/pmd/US20200194875","PMD")</f>
        <v>0.0</v>
      </c>
      <c r="L56" s="2" t="n">
        <f>HYPERLINK("https://globaldossier.uspto.gov/result/application/US/16718001/1","US20200194875")</f>
        <v>0.0</v>
      </c>
      <c r="M56" t="s">
        <v>431</v>
      </c>
      <c r="N56" t="s">
        <v>432</v>
      </c>
      <c r="O56" t="s">
        <v>433</v>
      </c>
      <c r="P56" t="s">
        <v>434</v>
      </c>
      <c r="Q56" s="3" t="n">
        <v>43816.0</v>
      </c>
      <c r="R56" s="3" t="n">
        <v>44000.0</v>
      </c>
      <c r="S56" s="3" t="n">
        <v>44001.80684150463</v>
      </c>
      <c r="T56" s="3" t="n">
        <v>44494.640537453706</v>
      </c>
      <c r="U56" t="s">
        <v>435</v>
      </c>
      <c r="V56" t="s">
        <v>436</v>
      </c>
    </row>
    <row r="57">
      <c r="A57" t="s">
        <v>22</v>
      </c>
      <c r="B57" t="s">
        <v>437</v>
      </c>
      <c r="C57" t="s">
        <v>24</v>
      </c>
      <c r="D57" t="s">
        <v>25</v>
      </c>
      <c r="E57" t="s">
        <v>438</v>
      </c>
      <c r="F57" s="2" t="n">
        <f>HYPERLINK("https://patents.google.com/patent/US20200187379","Google")</f>
        <v>0.0</v>
      </c>
      <c r="G57" s="2" t="n">
        <f>HYPERLINK("https://patentcenter.uspto.gov/applications/16732785","Patent Center")</f>
        <v>0.0</v>
      </c>
      <c r="H57" s="2" t="n">
        <f>HYPERLINK("https://worldwide.espacenet.com/patent/search?q=US20200187379","Espacenet")</f>
        <v>0.0</v>
      </c>
      <c r="I57" s="2" t="n">
        <f>HYPERLINK("https://ppubs.uspto.gov/pubwebapp/external.html?q=20200187379.pn.","USPTO")</f>
        <v>0.0</v>
      </c>
      <c r="J57" s="2" t="n">
        <f>HYPERLINK("https://image-ppubs.uspto.gov/dirsearch-public/print/downloadPdf/20200187379","USPTO PDF")</f>
        <v>0.0</v>
      </c>
      <c r="K57" s="2" t="n">
        <f>HYPERLINK("https://sectors.patentforecast.com/pmd/US20200187379","PMD")</f>
        <v>0.0</v>
      </c>
      <c r="L57" s="2" t="n">
        <f>HYPERLINK("https://globaldossier.uspto.gov/result/application/US/16732785/1","US20200187379")</f>
        <v>0.0</v>
      </c>
      <c r="M57" t="s">
        <v>439</v>
      </c>
      <c r="N57" t="s">
        <v>283</v>
      </c>
      <c r="O57" t="s">
        <v>284</v>
      </c>
      <c r="P57" t="s">
        <v>285</v>
      </c>
      <c r="Q57" s="3" t="n">
        <v>43832.0</v>
      </c>
      <c r="R57" s="3" t="n">
        <v>43993.0</v>
      </c>
      <c r="S57" s="3" t="n">
        <v>43994.04632396991</v>
      </c>
      <c r="T57" s="3" t="n">
        <v>44494.558983333336</v>
      </c>
      <c r="U57" t="s">
        <v>440</v>
      </c>
      <c r="V57" t="s">
        <v>441</v>
      </c>
    </row>
    <row r="58">
      <c r="A58" t="s">
        <v>22</v>
      </c>
      <c r="B58" t="s">
        <v>442</v>
      </c>
      <c r="C58" t="s">
        <v>61</v>
      </c>
      <c r="D58" t="s">
        <v>61</v>
      </c>
      <c r="E58" t="s">
        <v>443</v>
      </c>
      <c r="F58" s="2" t="n">
        <f>HYPERLINK("https://patents.google.com/patent/US20200178090","Google")</f>
        <v>0.0</v>
      </c>
      <c r="G58" s="2" t="n">
        <f>HYPERLINK("https://patentcenter.uspto.gov/applications/16206770","Patent Center")</f>
        <v>0.0</v>
      </c>
      <c r="H58" s="2" t="n">
        <f>HYPERLINK("https://worldwide.espacenet.com/patent/search?q=US20200178090","Espacenet")</f>
        <v>0.0</v>
      </c>
      <c r="I58" s="2" t="n">
        <f>HYPERLINK("https://ppubs.uspto.gov/pubwebapp/external.html?q=20200178090.pn.","USPTO")</f>
        <v>0.0</v>
      </c>
      <c r="J58" s="2" t="n">
        <f>HYPERLINK("https://image-ppubs.uspto.gov/dirsearch-public/print/downloadPdf/20200178090","USPTO PDF")</f>
        <v>0.0</v>
      </c>
      <c r="K58" s="2" t="n">
        <f>HYPERLINK("https://sectors.patentforecast.com/pmd/US20200178090","PMD")</f>
        <v>0.0</v>
      </c>
      <c r="L58" s="2" t="n">
        <f>HYPERLINK("https://globaldossier.uspto.gov/result/application/US/16206770/1","US20200178090")</f>
        <v>0.0</v>
      </c>
      <c r="M58" t="s">
        <v>444</v>
      </c>
      <c r="N58" t="s">
        <v>445</v>
      </c>
      <c r="O58" t="s">
        <v>446</v>
      </c>
      <c r="P58" t="s">
        <v>447</v>
      </c>
      <c r="Q58" s="3" t="n">
        <v>43434.0</v>
      </c>
      <c r="R58" s="3" t="n">
        <v>43986.0</v>
      </c>
      <c r="S58" s="3" t="n">
        <v>43987.09348329861</v>
      </c>
      <c r="T58" s="3" t="n">
        <v>44494.51217699074</v>
      </c>
      <c r="U58" t="s">
        <v>448</v>
      </c>
      <c r="V58" t="s">
        <v>449</v>
      </c>
    </row>
    <row r="59">
      <c r="A59" t="s">
        <v>22</v>
      </c>
      <c r="B59" t="s">
        <v>450</v>
      </c>
      <c r="C59" t="s">
        <v>24</v>
      </c>
      <c r="D59" t="s">
        <v>25</v>
      </c>
      <c r="E59" t="s">
        <v>451</v>
      </c>
      <c r="F59" s="2" t="n">
        <f>HYPERLINK("https://patents.google.com/patent/US20200177238","Google")</f>
        <v>0.0</v>
      </c>
      <c r="G59" s="2" t="n">
        <f>HYPERLINK("https://patentcenter.uspto.gov/applications/16204133","Patent Center")</f>
        <v>0.0</v>
      </c>
      <c r="H59" s="2" t="n">
        <f>HYPERLINK("https://worldwide.espacenet.com/patent/search?q=US20200177238","Espacenet")</f>
        <v>0.0</v>
      </c>
      <c r="I59" s="2" t="n">
        <f>HYPERLINK("https://ppubs.uspto.gov/pubwebapp/external.html?q=20200177238.pn.","USPTO")</f>
        <v>0.0</v>
      </c>
      <c r="J59" s="2" t="n">
        <f>HYPERLINK("https://image-ppubs.uspto.gov/dirsearch-public/print/downloadPdf/20200177238","USPTO PDF")</f>
        <v>0.0</v>
      </c>
      <c r="K59" s="2" t="n">
        <f>HYPERLINK("https://sectors.patentforecast.com/pmd/US20200177238","PMD")</f>
        <v>0.0</v>
      </c>
      <c r="L59" s="2" t="n">
        <f>HYPERLINK("https://globaldossier.uspto.gov/result/application/US/16204133/1","US20200177238")</f>
        <v>0.0</v>
      </c>
      <c r="M59" t="s">
        <v>452</v>
      </c>
      <c r="N59" t="s">
        <v>390</v>
      </c>
      <c r="O59" t="s">
        <v>391</v>
      </c>
      <c r="P59" t="s">
        <v>453</v>
      </c>
      <c r="Q59" s="3" t="n">
        <v>43433.0</v>
      </c>
      <c r="R59" s="3" t="n">
        <v>43986.0</v>
      </c>
      <c r="S59" s="3" t="n">
        <v>43987.0702209375</v>
      </c>
      <c r="T59" s="3" t="n">
        <v>44494.50392766204</v>
      </c>
      <c r="U59" t="s">
        <v>454</v>
      </c>
      <c r="V59" t="s">
        <v>455</v>
      </c>
    </row>
    <row r="60">
      <c r="A60" t="s">
        <v>22</v>
      </c>
      <c r="B60" t="s">
        <v>456</v>
      </c>
      <c r="C60" t="s">
        <v>24</v>
      </c>
      <c r="D60" t="s">
        <v>25</v>
      </c>
      <c r="E60" t="s">
        <v>457</v>
      </c>
      <c r="F60" s="2" t="n">
        <f>HYPERLINK("https://patents.google.com/patent/US20200177237","Google")</f>
        <v>0.0</v>
      </c>
      <c r="G60" s="2" t="n">
        <f>HYPERLINK("https://patentcenter.uspto.gov/applications/16203899","Patent Center")</f>
        <v>0.0</v>
      </c>
      <c r="H60" s="2" t="n">
        <f>HYPERLINK("https://worldwide.espacenet.com/patent/search?q=US20200177237","Espacenet")</f>
        <v>0.0</v>
      </c>
      <c r="I60" s="2" t="n">
        <f>HYPERLINK("https://ppubs.uspto.gov/pubwebapp/external.html?q=20200177237.pn.","USPTO")</f>
        <v>0.0</v>
      </c>
      <c r="J60" s="2" t="n">
        <f>HYPERLINK("https://image-ppubs.uspto.gov/dirsearch-public/print/downloadPdf/20200177237","USPTO PDF")</f>
        <v>0.0</v>
      </c>
      <c r="K60" s="2" t="n">
        <f>HYPERLINK("https://sectors.patentforecast.com/pmd/US20200177237","PMD")</f>
        <v>0.0</v>
      </c>
      <c r="L60" s="2" t="n">
        <f>HYPERLINK("https://globaldossier.uspto.gov/result/application/US/16203899/1","US20200177237")</f>
        <v>0.0</v>
      </c>
      <c r="M60" t="s">
        <v>458</v>
      </c>
      <c r="N60" t="s">
        <v>390</v>
      </c>
      <c r="O60" t="s">
        <v>391</v>
      </c>
      <c r="P60" t="s">
        <v>414</v>
      </c>
      <c r="Q60" s="3" t="n">
        <v>43433.0</v>
      </c>
      <c r="R60" s="3" t="n">
        <v>43986.0</v>
      </c>
      <c r="S60" s="3" t="n">
        <v>43987.0702209375</v>
      </c>
      <c r="T60" s="3" t="n">
        <v>44494.504211342595</v>
      </c>
      <c r="U60" t="s">
        <v>459</v>
      </c>
      <c r="V60" t="s">
        <v>460</v>
      </c>
    </row>
    <row r="61">
      <c r="A61" t="s">
        <v>22</v>
      </c>
      <c r="B61" t="s">
        <v>461</v>
      </c>
      <c r="C61" t="s">
        <v>61</v>
      </c>
      <c r="D61" t="s">
        <v>61</v>
      </c>
      <c r="E61" t="s">
        <v>462</v>
      </c>
      <c r="F61" s="2" t="n">
        <f>HYPERLINK("https://patents.google.com/patent/US20200174466","Google")</f>
        <v>0.0</v>
      </c>
      <c r="G61" s="2" t="n">
        <f>HYPERLINK("https://patentcenter.uspto.gov/applications/16500030","Patent Center")</f>
        <v>0.0</v>
      </c>
      <c r="H61" s="2" t="n">
        <f>HYPERLINK("https://worldwide.espacenet.com/patent/search?q=US20200174466","Espacenet")</f>
        <v>0.0</v>
      </c>
      <c r="I61" s="2" t="n">
        <f>HYPERLINK("https://ppubs.uspto.gov/pubwebapp/external.html?q=20200174466.pn.","USPTO")</f>
        <v>0.0</v>
      </c>
      <c r="J61" s="2" t="n">
        <f>HYPERLINK("https://image-ppubs.uspto.gov/dirsearch-public/print/downloadPdf/20200174466","USPTO PDF")</f>
        <v>0.0</v>
      </c>
      <c r="K61" s="2" t="n">
        <f>HYPERLINK("https://sectors.patentforecast.com/pmd/US20200174466","PMD")</f>
        <v>0.0</v>
      </c>
      <c r="L61" s="2" t="n">
        <f>HYPERLINK("https://globaldossier.uspto.gov/result/application/US/16500030/1","US20200174466")</f>
        <v>0.0</v>
      </c>
      <c r="M61" t="s">
        <v>463</v>
      </c>
      <c r="N61" t="s">
        <v>464</v>
      </c>
      <c r="O61" t="s">
        <v>465</v>
      </c>
      <c r="P61" t="s">
        <v>466</v>
      </c>
      <c r="Q61" s="3" t="n">
        <v>43210.0</v>
      </c>
      <c r="R61" s="3" t="n">
        <v>43986.0</v>
      </c>
      <c r="S61" s="3" t="n">
        <v>43987.13677037037</v>
      </c>
      <c r="T61" s="3" t="n">
        <v>44494.49302599537</v>
      </c>
      <c r="U61" t="s">
        <v>467</v>
      </c>
      <c r="V61" t="s">
        <v>468</v>
      </c>
    </row>
    <row r="62">
      <c r="A62" t="s">
        <v>22</v>
      </c>
      <c r="B62" t="s">
        <v>469</v>
      </c>
      <c r="C62" t="s">
        <v>24</v>
      </c>
      <c r="D62" t="s">
        <v>25</v>
      </c>
      <c r="E62" t="s">
        <v>470</v>
      </c>
      <c r="F62" s="2" t="n">
        <f>HYPERLINK("https://patents.google.com/patent/US20200174189","Google")</f>
        <v>0.0</v>
      </c>
      <c r="G62" s="2" t="n">
        <f>HYPERLINK("https://patentcenter.uspto.gov/applications/16737491","Patent Center")</f>
        <v>0.0</v>
      </c>
      <c r="H62" s="2" t="n">
        <f>HYPERLINK("https://worldwide.espacenet.com/patent/search?q=US20200174189","Espacenet")</f>
        <v>0.0</v>
      </c>
      <c r="I62" s="2" t="n">
        <f>HYPERLINK("https://ppubs.uspto.gov/pubwebapp/external.html?q=20200174189.pn.","USPTO")</f>
        <v>0.0</v>
      </c>
      <c r="J62" s="2" t="n">
        <f>HYPERLINK("https://image-ppubs.uspto.gov/dirsearch-public/print/downloadPdf/20200174189","USPTO PDF")</f>
        <v>0.0</v>
      </c>
      <c r="K62" s="2" t="n">
        <f>HYPERLINK("https://sectors.patentforecast.com/pmd/US20200174189","PMD")</f>
        <v>0.0</v>
      </c>
      <c r="L62" s="2" t="n">
        <f>HYPERLINK("https://globaldossier.uspto.gov/result/application/US/16737491/1","US20200174189")</f>
        <v>0.0</v>
      </c>
      <c r="M62" t="s">
        <v>471</v>
      </c>
      <c r="N62" t="s">
        <v>390</v>
      </c>
      <c r="O62" t="s">
        <v>391</v>
      </c>
      <c r="P62" t="s">
        <v>414</v>
      </c>
      <c r="Q62" s="3" t="n">
        <v>43838.0</v>
      </c>
      <c r="R62" s="3" t="n">
        <v>43986.0</v>
      </c>
      <c r="S62" s="3" t="n">
        <v>43987.0702209375</v>
      </c>
      <c r="T62" s="3" t="n">
        <v>44494.50662496528</v>
      </c>
      <c r="U62" t="s">
        <v>472</v>
      </c>
      <c r="V62" t="s">
        <v>473</v>
      </c>
    </row>
    <row r="63">
      <c r="A63" t="s">
        <v>22</v>
      </c>
      <c r="B63" t="s">
        <v>474</v>
      </c>
      <c r="C63" t="s">
        <v>24</v>
      </c>
      <c r="D63" t="s">
        <v>25</v>
      </c>
      <c r="E63" t="s">
        <v>475</v>
      </c>
      <c r="F63" s="2" t="n">
        <f>HYPERLINK("https://patents.google.com/patent/US20200174185","Google")</f>
        <v>0.0</v>
      </c>
      <c r="G63" s="2" t="n">
        <f>HYPERLINK("https://patentcenter.uspto.gov/applications/16203972","Patent Center")</f>
        <v>0.0</v>
      </c>
      <c r="H63" s="2" t="n">
        <f>HYPERLINK("https://worldwide.espacenet.com/patent/search?q=US20200174185","Espacenet")</f>
        <v>0.0</v>
      </c>
      <c r="I63" s="2" t="n">
        <f>HYPERLINK("https://ppubs.uspto.gov/pubwebapp/external.html?q=20200174185.pn.","USPTO")</f>
        <v>0.0</v>
      </c>
      <c r="J63" s="2" t="n">
        <f>HYPERLINK("https://image-ppubs.uspto.gov/dirsearch-public/print/downloadPdf/20200174185","USPTO PDF")</f>
        <v>0.0</v>
      </c>
      <c r="K63" s="2" t="n">
        <f>HYPERLINK("https://sectors.patentforecast.com/pmd/US20200174185","PMD")</f>
        <v>0.0</v>
      </c>
      <c r="L63" s="2" t="n">
        <f>HYPERLINK("https://globaldossier.uspto.gov/result/application/US/16203972/1","US20200174185")</f>
        <v>0.0</v>
      </c>
      <c r="M63" t="s">
        <v>476</v>
      </c>
      <c r="N63" t="s">
        <v>390</v>
      </c>
      <c r="O63" t="s">
        <v>391</v>
      </c>
      <c r="P63" t="s">
        <v>477</v>
      </c>
      <c r="Q63" s="3" t="n">
        <v>43433.0</v>
      </c>
      <c r="R63" s="3" t="n">
        <v>43986.0</v>
      </c>
      <c r="S63" s="3" t="n">
        <v>43987.0702209375</v>
      </c>
      <c r="T63" s="3" t="n">
        <v>44494.5062353125</v>
      </c>
      <c r="U63" t="s">
        <v>478</v>
      </c>
      <c r="V63" t="s">
        <v>479</v>
      </c>
    </row>
    <row r="64">
      <c r="A64" t="s">
        <v>22</v>
      </c>
      <c r="B64" t="s">
        <v>480</v>
      </c>
      <c r="C64" t="s">
        <v>52</v>
      </c>
      <c r="D64" t="s">
        <v>52</v>
      </c>
      <c r="E64" t="s">
        <v>481</v>
      </c>
      <c r="F64" s="2" t="n">
        <f>HYPERLINK("https://patents.google.com/patent/US20200168075","Google")</f>
        <v>0.0</v>
      </c>
      <c r="G64" s="2" t="n">
        <f>HYPERLINK("https://patentcenter.uspto.gov/applications/16776671","Patent Center")</f>
        <v>0.0</v>
      </c>
      <c r="H64" s="2" t="n">
        <f>HYPERLINK("https://worldwide.espacenet.com/patent/search?q=US20200168075","Espacenet")</f>
        <v>0.0</v>
      </c>
      <c r="I64" s="2" t="n">
        <f>HYPERLINK("https://ppubs.uspto.gov/pubwebapp/external.html?q=20200168075.pn.","USPTO")</f>
        <v>0.0</v>
      </c>
      <c r="J64" s="2" t="n">
        <f>HYPERLINK("https://image-ppubs.uspto.gov/dirsearch-public/print/downloadPdf/20200168075","USPTO PDF")</f>
        <v>0.0</v>
      </c>
      <c r="K64" s="2" t="n">
        <f>HYPERLINK("https://sectors.patentforecast.com/pmd/US20200168075","PMD")</f>
        <v>0.0</v>
      </c>
      <c r="L64" s="2" t="n">
        <f>HYPERLINK("https://globaldossier.uspto.gov/result/application/US/16776671/1","US20200168075")</f>
        <v>0.0</v>
      </c>
      <c r="M64" t="s">
        <v>482</v>
      </c>
      <c r="N64" t="s">
        <v>483</v>
      </c>
      <c r="O64" t="s">
        <v>484</v>
      </c>
      <c r="P64" t="s">
        <v>485</v>
      </c>
      <c r="Q64" s="3" t="n">
        <v>43860.0</v>
      </c>
      <c r="R64" s="3" t="n">
        <v>43979.0</v>
      </c>
      <c r="S64" s="3" t="n">
        <v>43980.05468732639</v>
      </c>
      <c r="T64" s="3" t="n">
        <v>44001.62912505787</v>
      </c>
      <c r="U64" t="s">
        <v>486</v>
      </c>
      <c r="V64" t="s">
        <v>487</v>
      </c>
    </row>
    <row r="65">
      <c r="A65" t="s">
        <v>22</v>
      </c>
      <c r="B65" t="s">
        <v>488</v>
      </c>
      <c r="C65" t="s">
        <v>61</v>
      </c>
      <c r="D65" t="s">
        <v>61</v>
      </c>
      <c r="E65" t="s">
        <v>489</v>
      </c>
      <c r="F65" s="2" t="n">
        <f>HYPERLINK("https://patents.google.com/patent/US20200166654","Google")</f>
        <v>0.0</v>
      </c>
      <c r="G65" s="2" t="n">
        <f>HYPERLINK("https://patentcenter.uspto.gov/applications/16750010","Patent Center")</f>
        <v>0.0</v>
      </c>
      <c r="H65" s="2" t="n">
        <f>HYPERLINK("https://worldwide.espacenet.com/patent/search?q=US20200166654","Espacenet")</f>
        <v>0.0</v>
      </c>
      <c r="I65" s="2" t="n">
        <f>HYPERLINK("https://ppubs.uspto.gov/pubwebapp/external.html?q=20200166654.pn.","USPTO")</f>
        <v>0.0</v>
      </c>
      <c r="J65" s="2" t="n">
        <f>HYPERLINK("https://image-ppubs.uspto.gov/dirsearch-public/print/downloadPdf/20200166654","USPTO PDF")</f>
        <v>0.0</v>
      </c>
      <c r="K65" s="2" t="n">
        <f>HYPERLINK("https://sectors.patentforecast.com/pmd/US20200166654","PMD")</f>
        <v>0.0</v>
      </c>
      <c r="L65" s="2" t="n">
        <f>HYPERLINK("https://globaldossier.uspto.gov/result/application/US/16750010/1","US20200166654")</f>
        <v>0.0</v>
      </c>
      <c r="M65" t="s">
        <v>490</v>
      </c>
      <c r="N65" t="s">
        <v>491</v>
      </c>
      <c r="O65" t="s">
        <v>492</v>
      </c>
      <c r="P65" t="s">
        <v>493</v>
      </c>
      <c r="Q65" s="3" t="n">
        <v>43853.0</v>
      </c>
      <c r="R65" s="3" t="n">
        <v>43979.0</v>
      </c>
      <c r="S65" s="3" t="n">
        <v>43980.0515624537</v>
      </c>
      <c r="T65" s="3" t="n">
        <v>44001.630725324074</v>
      </c>
      <c r="U65" t="s">
        <v>494</v>
      </c>
      <c r="V65" t="s">
        <v>495</v>
      </c>
    </row>
    <row r="66">
      <c r="A66" t="s">
        <v>22</v>
      </c>
      <c r="B66" t="s">
        <v>496</v>
      </c>
      <c r="C66" t="s">
        <v>61</v>
      </c>
      <c r="D66" t="s">
        <v>61</v>
      </c>
      <c r="E66" t="s">
        <v>497</v>
      </c>
      <c r="F66" s="2" t="n">
        <f>HYPERLINK("https://patents.google.com/patent/US20200166372","Google")</f>
        <v>0.0</v>
      </c>
      <c r="G66" s="2" t="n">
        <f>HYPERLINK("https://patentcenter.uspto.gov/applications/16200763","Patent Center")</f>
        <v>0.0</v>
      </c>
      <c r="H66" s="2" t="n">
        <f>HYPERLINK("https://worldwide.espacenet.com/patent/search?q=US20200166372","Espacenet")</f>
        <v>0.0</v>
      </c>
      <c r="I66" s="2" t="n">
        <f>HYPERLINK("https://ppubs.uspto.gov/pubwebapp/external.html?q=20200166372.pn.","USPTO")</f>
        <v>0.0</v>
      </c>
      <c r="J66" s="2" t="n">
        <f>HYPERLINK("https://image-ppubs.uspto.gov/dirsearch-public/print/downloadPdf/20200166372","USPTO PDF")</f>
        <v>0.0</v>
      </c>
      <c r="K66" s="2" t="n">
        <f>HYPERLINK("https://sectors.patentforecast.com/pmd/US20200166372","PMD")</f>
        <v>0.0</v>
      </c>
      <c r="L66" s="2" t="n">
        <f>HYPERLINK("https://globaldossier.uspto.gov/result/application/US/16200763/1","US20200166372")</f>
        <v>0.0</v>
      </c>
      <c r="M66" t="s">
        <v>498</v>
      </c>
      <c r="N66" t="s">
        <v>499</v>
      </c>
      <c r="O66" t="s">
        <v>500</v>
      </c>
      <c r="P66" t="s">
        <v>501</v>
      </c>
      <c r="Q66" s="3" t="n">
        <v>43431.0</v>
      </c>
      <c r="R66" s="3" t="n">
        <v>43979.0</v>
      </c>
      <c r="S66" s="3" t="n">
        <v>43980.046822488424</v>
      </c>
      <c r="T66" s="3" t="n">
        <v>44001.6308321875</v>
      </c>
      <c r="U66" t="s">
        <v>502</v>
      </c>
      <c r="V66" t="s">
        <v>503</v>
      </c>
    </row>
    <row r="67">
      <c r="A67" t="s">
        <v>22</v>
      </c>
      <c r="B67" t="s">
        <v>504</v>
      </c>
      <c r="C67" t="s">
        <v>24</v>
      </c>
      <c r="D67" t="s">
        <v>25</v>
      </c>
      <c r="E67" t="s">
        <v>505</v>
      </c>
      <c r="F67" s="2" t="n">
        <f>HYPERLINK("https://patents.google.com/patent/US20200163138","Google")</f>
        <v>0.0</v>
      </c>
      <c r="G67" s="2" t="n">
        <f>HYPERLINK("https://patentcenter.uspto.gov/applications/16752132","Patent Center")</f>
        <v>0.0</v>
      </c>
      <c r="H67" s="2" t="n">
        <f>HYPERLINK("https://worldwide.espacenet.com/patent/search?q=US20200163138","Espacenet")</f>
        <v>0.0</v>
      </c>
      <c r="I67" s="2" t="n">
        <f>HYPERLINK("https://ppubs.uspto.gov/pubwebapp/external.html?q=20200163138.pn.","USPTO")</f>
        <v>0.0</v>
      </c>
      <c r="J67" s="2" t="n">
        <f>HYPERLINK("https://image-ppubs.uspto.gov/dirsearch-public/print/downloadPdf/20200163138","USPTO PDF")</f>
        <v>0.0</v>
      </c>
      <c r="K67" s="2" t="n">
        <f>HYPERLINK("https://sectors.patentforecast.com/pmd/US20200163138","PMD")</f>
        <v>0.0</v>
      </c>
      <c r="L67" s="2" t="n">
        <f>HYPERLINK("https://globaldossier.uspto.gov/result/application/US/16752132/1","US20200163138")</f>
        <v>0.0</v>
      </c>
      <c r="M67" t="s">
        <v>506</v>
      </c>
      <c r="N67" t="s">
        <v>507</v>
      </c>
      <c r="O67" t="s">
        <v>508</v>
      </c>
      <c r="P67" t="s">
        <v>509</v>
      </c>
      <c r="Q67" s="3" t="n">
        <v>43854.0</v>
      </c>
      <c r="R67" s="3" t="n">
        <v>43972.0</v>
      </c>
      <c r="S67" s="3" t="n">
        <v>43973.05640666667</v>
      </c>
      <c r="T67" s="3" t="n">
        <v>43973.569823715276</v>
      </c>
      <c r="U67" t="s">
        <v>510</v>
      </c>
      <c r="V67" t="s">
        <v>511</v>
      </c>
    </row>
    <row r="68">
      <c r="A68" t="s">
        <v>22</v>
      </c>
      <c r="B68" t="s">
        <v>512</v>
      </c>
      <c r="C68" t="s">
        <v>24</v>
      </c>
      <c r="D68" t="s">
        <v>25</v>
      </c>
      <c r="E68" t="s">
        <v>513</v>
      </c>
      <c r="F68" s="2" t="n">
        <f>HYPERLINK("https://patents.google.com/patent/US20200144727","Google")</f>
        <v>0.0</v>
      </c>
      <c r="G68" s="2" t="n">
        <f>HYPERLINK("https://patentcenter.uspto.gov/applications/16543391","Patent Center")</f>
        <v>0.0</v>
      </c>
      <c r="H68" s="2" t="n">
        <f>HYPERLINK("https://worldwide.espacenet.com/patent/search?q=US20200144727","Espacenet")</f>
        <v>0.0</v>
      </c>
      <c r="I68" s="2" t="n">
        <f>HYPERLINK("https://ppubs.uspto.gov/pubwebapp/external.html?q=20200144727.pn.","USPTO")</f>
        <v>0.0</v>
      </c>
      <c r="J68" s="2" t="n">
        <f>HYPERLINK("https://image-ppubs.uspto.gov/dirsearch-public/print/downloadPdf/20200144727","USPTO PDF")</f>
        <v>0.0</v>
      </c>
      <c r="K68" s="2" t="n">
        <f>HYPERLINK("https://sectors.patentforecast.com/pmd/US20200144727","PMD")</f>
        <v>0.0</v>
      </c>
      <c r="L68" s="2" t="n">
        <f>HYPERLINK("https://globaldossier.uspto.gov/result/application/US/16543391/1","US20200144727")</f>
        <v>0.0</v>
      </c>
      <c r="M68" t="s">
        <v>514</v>
      </c>
      <c r="N68" t="s">
        <v>515</v>
      </c>
      <c r="O68" t="s">
        <v>516</v>
      </c>
      <c r="P68" t="s">
        <v>517</v>
      </c>
      <c r="Q68" s="3" t="n">
        <v>43693.0</v>
      </c>
      <c r="R68" s="3" t="n">
        <v>43958.0</v>
      </c>
      <c r="S68" s="3" t="n">
        <v>43959.08978194444</v>
      </c>
      <c r="T68" s="3" t="n">
        <v>43959.56979180555</v>
      </c>
      <c r="U68" t="s">
        <v>518</v>
      </c>
      <c r="V68" t="s">
        <v>519</v>
      </c>
    </row>
    <row r="69">
      <c r="A69" t="s">
        <v>22</v>
      </c>
      <c r="B69" t="s">
        <v>520</v>
      </c>
      <c r="C69" t="s">
        <v>168</v>
      </c>
      <c r="D69" t="s">
        <v>168</v>
      </c>
      <c r="E69" t="s">
        <v>521</v>
      </c>
      <c r="F69" s="2" t="n">
        <f>HYPERLINK("https://patents.google.com/patent/US20200127243","Google")</f>
        <v>0.0</v>
      </c>
      <c r="G69" s="2" t="n">
        <f>HYPERLINK("https://patentcenter.uspto.gov/applications/16706057","Patent Center")</f>
        <v>0.0</v>
      </c>
      <c r="H69" s="2" t="n">
        <f>HYPERLINK("https://worldwide.espacenet.com/patent/search?q=US20200127243","Espacenet")</f>
        <v>0.0</v>
      </c>
      <c r="I69" s="2" t="n">
        <f>HYPERLINK("https://ppubs.uspto.gov/pubwebapp/external.html?q=20200127243.pn.","USPTO")</f>
        <v>0.0</v>
      </c>
      <c r="J69" s="2" t="n">
        <f>HYPERLINK("https://image-ppubs.uspto.gov/dirsearch-public/print/downloadPdf/20200127243","USPTO PDF")</f>
        <v>0.0</v>
      </c>
      <c r="K69" s="2" t="n">
        <f>HYPERLINK("https://sectors.patentforecast.com/pmd/US20200127243","PMD")</f>
        <v>0.0</v>
      </c>
      <c r="L69" s="2" t="n">
        <f>HYPERLINK("https://globaldossier.uspto.gov/result/application/US/16706057/1","US20200127243")</f>
        <v>0.0</v>
      </c>
      <c r="M69" t="s">
        <v>522</v>
      </c>
      <c r="N69" t="s">
        <v>523</v>
      </c>
      <c r="O69" t="s">
        <v>524</v>
      </c>
      <c r="P69" t="s">
        <v>525</v>
      </c>
      <c r="Q69" s="3" t="n">
        <v>43805.0</v>
      </c>
      <c r="R69" s="3" t="n">
        <v>43944.0</v>
      </c>
      <c r="S69" s="3" t="n">
        <v>43945.05886105324</v>
      </c>
      <c r="T69" s="3" t="n">
        <v>43945.44895115741</v>
      </c>
      <c r="U69" t="s">
        <v>526</v>
      </c>
      <c r="V69" t="s">
        <v>527</v>
      </c>
    </row>
    <row r="70">
      <c r="A70" t="s">
        <v>22</v>
      </c>
      <c r="B70" t="s">
        <v>528</v>
      </c>
      <c r="C70" t="s">
        <v>168</v>
      </c>
      <c r="D70" t="s">
        <v>168</v>
      </c>
      <c r="E70" t="s">
        <v>529</v>
      </c>
      <c r="F70" s="2" t="n">
        <f>HYPERLINK("https://patents.google.com/patent/US20200113318","Google")</f>
        <v>0.0</v>
      </c>
      <c r="G70" s="2" t="n">
        <f>HYPERLINK("https://patentcenter.uspto.gov/applications/16705496","Patent Center")</f>
        <v>0.0</v>
      </c>
      <c r="H70" s="2" t="n">
        <f>HYPERLINK("https://worldwide.espacenet.com/patent/search?q=US20200113318","Espacenet")</f>
        <v>0.0</v>
      </c>
      <c r="I70" s="2" t="n">
        <f>HYPERLINK("https://ppubs.uspto.gov/pubwebapp/external.html?q=20200113318.pn.","USPTO")</f>
        <v>0.0</v>
      </c>
      <c r="J70" s="2" t="n">
        <f>HYPERLINK("https://image-ppubs.uspto.gov/dirsearch-public/print/downloadPdf/20200113318","USPTO PDF")</f>
        <v>0.0</v>
      </c>
      <c r="K70" s="2" t="n">
        <f>HYPERLINK("https://sectors.patentforecast.com/pmd/US20200113318","PMD")</f>
        <v>0.0</v>
      </c>
      <c r="L70" s="2" t="n">
        <f>HYPERLINK("https://globaldossier.uspto.gov/result/application/US/16705496/1","US20200113318")</f>
        <v>0.0</v>
      </c>
      <c r="M70" t="s">
        <v>530</v>
      </c>
      <c r="N70" t="s">
        <v>531</v>
      </c>
      <c r="O70" t="s">
        <v>532</v>
      </c>
      <c r="P70" t="s">
        <v>533</v>
      </c>
      <c r="Q70" s="3" t="n">
        <v>43805.0</v>
      </c>
      <c r="R70" s="3" t="n">
        <v>43937.0</v>
      </c>
      <c r="S70" s="3" t="n">
        <v>43938.04544579861</v>
      </c>
      <c r="T70" s="3" t="n">
        <v>43943.55421116898</v>
      </c>
      <c r="U70" t="s">
        <v>534</v>
      </c>
      <c r="V70" t="s">
        <v>535</v>
      </c>
    </row>
    <row r="71">
      <c r="A71" t="s">
        <v>22</v>
      </c>
      <c r="B71" t="s">
        <v>536</v>
      </c>
      <c r="C71" t="s">
        <v>24</v>
      </c>
      <c r="D71" t="s">
        <v>25</v>
      </c>
      <c r="E71" t="s">
        <v>537</v>
      </c>
      <c r="F71" s="2" t="n">
        <f>HYPERLINK("https://patents.google.com/patent/US20200112189","Google")</f>
        <v>0.0</v>
      </c>
      <c r="G71" s="2" t="n">
        <f>HYPERLINK("https://patentcenter.uspto.gov/applications/16319582","Patent Center")</f>
        <v>0.0</v>
      </c>
      <c r="H71" s="2" t="n">
        <f>HYPERLINK("https://worldwide.espacenet.com/patent/search?q=US20200112189","Espacenet")</f>
        <v>0.0</v>
      </c>
      <c r="I71" s="2" t="n">
        <f>HYPERLINK("https://ppubs.uspto.gov/pubwebapp/external.html?q=20200112189.pn.","USPTO")</f>
        <v>0.0</v>
      </c>
      <c r="J71" s="2" t="n">
        <f>HYPERLINK("https://image-ppubs.uspto.gov/dirsearch-public/print/downloadPdf/20200112189","USPTO PDF")</f>
        <v>0.0</v>
      </c>
      <c r="K71" s="2" t="n">
        <f>HYPERLINK("https://sectors.patentforecast.com/pmd/US20200112189","PMD")</f>
        <v>0.0</v>
      </c>
      <c r="L71" s="2" t="n">
        <f>HYPERLINK("https://globaldossier.uspto.gov/result/application/US/16319582/1","US20200112189")</f>
        <v>0.0</v>
      </c>
      <c r="M71" t="s">
        <v>538</v>
      </c>
      <c r="N71" t="s">
        <v>539</v>
      </c>
      <c r="O71" t="s">
        <v>540</v>
      </c>
      <c r="P71" t="s">
        <v>541</v>
      </c>
      <c r="Q71" s="3" t="n">
        <v>42937.0</v>
      </c>
      <c r="R71" s="3" t="n">
        <v>43930.0</v>
      </c>
      <c r="S71" s="3" t="n">
        <v>43931.075268506946</v>
      </c>
      <c r="T71" s="3" t="n">
        <v>43934.68482306713</v>
      </c>
      <c r="U71" t="s">
        <v>542</v>
      </c>
      <c r="V71" t="s">
        <v>543</v>
      </c>
    </row>
    <row r="72">
      <c r="A72" t="s">
        <v>22</v>
      </c>
      <c r="B72" t="s">
        <v>544</v>
      </c>
      <c r="C72" t="s">
        <v>24</v>
      </c>
      <c r="D72" t="s">
        <v>25</v>
      </c>
      <c r="E72" t="s">
        <v>545</v>
      </c>
      <c r="F72" s="2" t="n">
        <f>HYPERLINK("https://patents.google.com/patent/US20200105122","Google")</f>
        <v>0.0</v>
      </c>
      <c r="G72" s="2" t="n">
        <f>HYPERLINK("https://patentcenter.uspto.gov/applications/16702388","Patent Center")</f>
        <v>0.0</v>
      </c>
      <c r="H72" s="2" t="n">
        <f>HYPERLINK("https://worldwide.espacenet.com/patent/search?q=US20200105122","Espacenet")</f>
        <v>0.0</v>
      </c>
      <c r="I72" s="2" t="n">
        <f>HYPERLINK("https://ppubs.uspto.gov/pubwebapp/external.html?q=20200105122.pn.","USPTO")</f>
        <v>0.0</v>
      </c>
      <c r="J72" s="2" t="n">
        <f>HYPERLINK("https://image-ppubs.uspto.gov/dirsearch-public/print/downloadPdf/20200105122","USPTO PDF")</f>
        <v>0.0</v>
      </c>
      <c r="K72" s="2" t="n">
        <f>HYPERLINK("https://sectors.patentforecast.com/pmd/US20200105122","PMD")</f>
        <v>0.0</v>
      </c>
      <c r="L72" s="2" t="n">
        <f>HYPERLINK("https://globaldossier.uspto.gov/result/application/US/16702388/1","US20200105122")</f>
        <v>0.0</v>
      </c>
      <c r="M72" t="s">
        <v>546</v>
      </c>
      <c r="N72" t="s">
        <v>547</v>
      </c>
      <c r="O72" t="s">
        <v>548</v>
      </c>
      <c r="P72" t="s">
        <v>549</v>
      </c>
      <c r="Q72" s="3" t="n">
        <v>43802.0</v>
      </c>
      <c r="R72" s="3" t="n">
        <v>43923.0</v>
      </c>
      <c r="S72" s="3" t="n">
        <v>43924.06357641204</v>
      </c>
      <c r="T72" s="3" t="n">
        <v>43927.555254108796</v>
      </c>
      <c r="U72" t="s">
        <v>550</v>
      </c>
      <c r="V72" t="s">
        <v>551</v>
      </c>
    </row>
    <row r="73">
      <c r="A73" t="s">
        <v>22</v>
      </c>
      <c r="B73" t="s">
        <v>552</v>
      </c>
      <c r="C73" t="s">
        <v>168</v>
      </c>
      <c r="D73" t="s">
        <v>168</v>
      </c>
      <c r="E73" t="s">
        <v>553</v>
      </c>
      <c r="F73" s="2" t="n">
        <f>HYPERLINK("https://patents.google.com/patent/US20200100581","Google")</f>
        <v>0.0</v>
      </c>
      <c r="G73" s="2" t="n">
        <f>HYPERLINK("https://patentcenter.uspto.gov/applications/16145177","Patent Center")</f>
        <v>0.0</v>
      </c>
      <c r="H73" s="2" t="n">
        <f>HYPERLINK("https://worldwide.espacenet.com/patent/search?q=US20200100581","Espacenet")</f>
        <v>0.0</v>
      </c>
      <c r="I73" s="2" t="n">
        <f>HYPERLINK("https://ppubs.uspto.gov/pubwebapp/external.html?q=20200100581.pn.","USPTO")</f>
        <v>0.0</v>
      </c>
      <c r="J73" s="2" t="n">
        <f>HYPERLINK("https://image-ppubs.uspto.gov/dirsearch-public/print/downloadPdf/20200100581","USPTO PDF")</f>
        <v>0.0</v>
      </c>
      <c r="K73" s="2" t="n">
        <f>HYPERLINK("https://sectors.patentforecast.com/pmd/US20200100581","PMD")</f>
        <v>0.0</v>
      </c>
      <c r="L73" s="2" t="n">
        <f>HYPERLINK("https://globaldossier.uspto.gov/result/application/US/16145177/1","US20200100581")</f>
        <v>0.0</v>
      </c>
      <c r="M73" t="s">
        <v>554</v>
      </c>
      <c r="N73" t="s">
        <v>555</v>
      </c>
      <c r="O73" t="s">
        <v>556</v>
      </c>
      <c r="P73" t="s">
        <v>557</v>
      </c>
      <c r="Q73" s="3" t="n">
        <v>43371.0</v>
      </c>
      <c r="R73" s="3" t="n">
        <v>43923.0</v>
      </c>
      <c r="S73" s="3" t="n">
        <v>43924.04447898148</v>
      </c>
      <c r="T73" s="3" t="n">
        <v>43927.55428253472</v>
      </c>
      <c r="U73" t="s">
        <v>558</v>
      </c>
      <c r="V73" t="s">
        <v>559</v>
      </c>
    </row>
    <row r="74">
      <c r="A74" t="s">
        <v>22</v>
      </c>
      <c r="B74" t="s">
        <v>560</v>
      </c>
      <c r="C74" t="s">
        <v>24</v>
      </c>
      <c r="D74" t="s">
        <v>25</v>
      </c>
      <c r="E74" t="s">
        <v>561</v>
      </c>
      <c r="F74" s="2" t="n">
        <f>HYPERLINK("https://patents.google.com/patent/US20200100182","Google")</f>
        <v>0.0</v>
      </c>
      <c r="G74" s="2" t="n">
        <f>HYPERLINK("https://patentcenter.uspto.gov/applications/16464662","Patent Center")</f>
        <v>0.0</v>
      </c>
      <c r="H74" s="2" t="n">
        <f>HYPERLINK("https://worldwide.espacenet.com/patent/search?q=US20200100182","Espacenet")</f>
        <v>0.0</v>
      </c>
      <c r="I74" s="2" t="n">
        <f>HYPERLINK("https://ppubs.uspto.gov/pubwebapp/external.html?q=20200100182.pn.","USPTO")</f>
        <v>0.0</v>
      </c>
      <c r="J74" s="2" t="n">
        <f>HYPERLINK("https://image-ppubs.uspto.gov/dirsearch-public/print/downloadPdf/20200100182","USPTO PDF")</f>
        <v>0.0</v>
      </c>
      <c r="K74" s="2" t="n">
        <f>HYPERLINK("https://sectors.patentforecast.com/pmd/US20200100182","PMD")</f>
        <v>0.0</v>
      </c>
      <c r="L74" s="2" t="n">
        <f>HYPERLINK("https://globaldossier.uspto.gov/result/application/US/16464662/1","US20200100182")</f>
        <v>0.0</v>
      </c>
      <c r="M74" t="s">
        <v>562</v>
      </c>
      <c r="N74" t="s">
        <v>116</v>
      </c>
      <c r="O74" t="s">
        <v>117</v>
      </c>
      <c r="P74" t="s">
        <v>563</v>
      </c>
      <c r="Q74" s="3" t="n">
        <v>43067.0</v>
      </c>
      <c r="R74" s="3" t="n">
        <v>43916.0</v>
      </c>
      <c r="S74" s="3" t="n">
        <v>43917.05619895834</v>
      </c>
      <c r="T74" s="3" t="n">
        <v>43920.58657863426</v>
      </c>
      <c r="U74" t="s">
        <v>564</v>
      </c>
      <c r="V74" t="s">
        <v>565</v>
      </c>
    </row>
    <row r="75">
      <c r="A75" t="s">
        <v>22</v>
      </c>
      <c r="B75" t="s">
        <v>566</v>
      </c>
      <c r="C75" t="s">
        <v>52</v>
      </c>
      <c r="D75" t="s">
        <v>52</v>
      </c>
      <c r="E75" t="s">
        <v>567</v>
      </c>
      <c r="F75" s="2" t="n">
        <f>HYPERLINK("https://patents.google.com/patent/US20200100053","Google")</f>
        <v>0.0</v>
      </c>
      <c r="G75" s="2" t="n">
        <f>HYPERLINK("https://patentcenter.uspto.gov/applications/16697058","Patent Center")</f>
        <v>0.0</v>
      </c>
      <c r="H75" s="2" t="n">
        <f>HYPERLINK("https://worldwide.espacenet.com/patent/search?q=US20200100053","Espacenet")</f>
        <v>0.0</v>
      </c>
      <c r="I75" s="2" t="n">
        <f>HYPERLINK("https://ppubs.uspto.gov/pubwebapp/external.html?q=20200100053.pn.","USPTO")</f>
        <v>0.0</v>
      </c>
      <c r="J75" s="2" t="n">
        <f>HYPERLINK("https://image-ppubs.uspto.gov/dirsearch-public/print/downloadPdf/20200100053","USPTO PDF")</f>
        <v>0.0</v>
      </c>
      <c r="K75" s="2" t="n">
        <f>HYPERLINK("https://sectors.patentforecast.com/pmd/US20200100053","PMD")</f>
        <v>0.0</v>
      </c>
      <c r="L75" s="2" t="n">
        <f>HYPERLINK("https://globaldossier.uspto.gov/result/application/US/16697058/1","US20200100053")</f>
        <v>0.0</v>
      </c>
      <c r="M75" t="s">
        <v>568</v>
      </c>
      <c r="N75" t="s">
        <v>491</v>
      </c>
      <c r="O75" t="s">
        <v>492</v>
      </c>
      <c r="P75" t="s">
        <v>569</v>
      </c>
      <c r="Q75" s="3" t="n">
        <v>43795.0</v>
      </c>
      <c r="R75" s="3" t="n">
        <v>43916.0</v>
      </c>
      <c r="S75" s="3" t="n">
        <v>43917.051453796295</v>
      </c>
      <c r="T75" s="3" t="n">
        <v>43920.58715626157</v>
      </c>
      <c r="U75" t="s">
        <v>570</v>
      </c>
      <c r="V75" t="s">
        <v>571</v>
      </c>
    </row>
    <row r="76">
      <c r="A76" t="s">
        <v>22</v>
      </c>
      <c r="B76" t="s">
        <v>572</v>
      </c>
      <c r="C76" t="s">
        <v>168</v>
      </c>
      <c r="D76" t="s">
        <v>168</v>
      </c>
      <c r="E76" t="s">
        <v>573</v>
      </c>
      <c r="F76" s="2" t="n">
        <f>HYPERLINK("https://patents.google.com/patent/US20200099556","Google")</f>
        <v>0.0</v>
      </c>
      <c r="G76" s="2" t="n">
        <f>HYPERLINK("https://patentcenter.uspto.gov/applications/16609169","Patent Center")</f>
        <v>0.0</v>
      </c>
      <c r="H76" s="2" t="n">
        <f>HYPERLINK("https://worldwide.espacenet.com/patent/search?q=US20200099556","Espacenet")</f>
        <v>0.0</v>
      </c>
      <c r="I76" s="2" t="n">
        <f>HYPERLINK("https://ppubs.uspto.gov/pubwebapp/external.html?q=20200099556.pn.","USPTO")</f>
        <v>0.0</v>
      </c>
      <c r="J76" s="2" t="n">
        <f>HYPERLINK("https://image-ppubs.uspto.gov/dirsearch-public/print/downloadPdf/20200099556","USPTO PDF")</f>
        <v>0.0</v>
      </c>
      <c r="K76" s="2" t="n">
        <f>HYPERLINK("https://sectors.patentforecast.com/pmd/US20200099556","PMD")</f>
        <v>0.0</v>
      </c>
      <c r="L76" s="2" t="n">
        <f>HYPERLINK("https://globaldossier.uspto.gov/result/application/US/16609169/1","US20200099556")</f>
        <v>0.0</v>
      </c>
      <c r="M76" t="s">
        <v>574</v>
      </c>
      <c r="N76" t="s">
        <v>116</v>
      </c>
      <c r="O76" t="s">
        <v>117</v>
      </c>
      <c r="P76" t="s">
        <v>575</v>
      </c>
      <c r="Q76" s="3" t="n">
        <v>43208.0</v>
      </c>
      <c r="R76" s="3" t="n">
        <v>43916.0</v>
      </c>
      <c r="S76" s="3" t="n">
        <v>43917.05619895834</v>
      </c>
      <c r="T76" s="3" t="n">
        <v>43920.58640605324</v>
      </c>
      <c r="U76" t="s">
        <v>576</v>
      </c>
      <c r="V76" t="s">
        <v>577</v>
      </c>
    </row>
    <row r="77">
      <c r="A77" t="s">
        <v>22</v>
      </c>
      <c r="B77" t="s">
        <v>578</v>
      </c>
      <c r="C77" t="s">
        <v>168</v>
      </c>
      <c r="D77" t="s">
        <v>168</v>
      </c>
      <c r="E77" t="s">
        <v>579</v>
      </c>
      <c r="F77" s="2" t="n">
        <f>HYPERLINK("https://patents.google.com/patent/US20200092797","Google")</f>
        <v>0.0</v>
      </c>
      <c r="G77" s="2" t="n">
        <f>HYPERLINK("https://patentcenter.uspto.gov/applications/16194037","Patent Center")</f>
        <v>0.0</v>
      </c>
      <c r="H77" s="2" t="n">
        <f>HYPERLINK("https://worldwide.espacenet.com/patent/search?q=US20200092797","Espacenet")</f>
        <v>0.0</v>
      </c>
      <c r="I77" s="2" t="n">
        <f>HYPERLINK("https://ppubs.uspto.gov/pubwebapp/external.html?q=20200092797.pn.","USPTO")</f>
        <v>0.0</v>
      </c>
      <c r="J77" s="2" t="n">
        <f>HYPERLINK("https://image-ppubs.uspto.gov/dirsearch-public/print/downloadPdf/20200092797","USPTO PDF")</f>
        <v>0.0</v>
      </c>
      <c r="K77" s="2" t="n">
        <f>HYPERLINK("https://sectors.patentforecast.com/pmd/US20200092797","PMD")</f>
        <v>0.0</v>
      </c>
      <c r="L77" s="2" t="n">
        <f>HYPERLINK("https://globaldossier.uspto.gov/result/application/US/16194037/1","US20200092797")</f>
        <v>0.0</v>
      </c>
      <c r="M77" t="s">
        <v>580</v>
      </c>
      <c r="N77" t="s">
        <v>581</v>
      </c>
      <c r="O77" t="s">
        <v>582</v>
      </c>
      <c r="P77" t="s">
        <v>583</v>
      </c>
      <c r="Q77" s="3" t="n">
        <v>43420.0</v>
      </c>
      <c r="R77" s="3" t="n">
        <v>43909.0</v>
      </c>
      <c r="S77" s="3" t="n">
        <v>43910.06360046296</v>
      </c>
      <c r="T77" s="3" t="n">
        <v>43910.418340474534</v>
      </c>
      <c r="U77" t="s">
        <v>584</v>
      </c>
      <c r="V77" t="s">
        <v>585</v>
      </c>
    </row>
    <row r="78">
      <c r="A78" t="s">
        <v>22</v>
      </c>
      <c r="B78" t="s">
        <v>586</v>
      </c>
      <c r="C78" t="s">
        <v>24</v>
      </c>
      <c r="D78" t="s">
        <v>25</v>
      </c>
      <c r="E78" t="s">
        <v>587</v>
      </c>
      <c r="F78" s="2" t="n">
        <f>HYPERLINK("https://patents.google.com/patent/US20200092779","Google")</f>
        <v>0.0</v>
      </c>
      <c r="G78" s="2" t="n">
        <f>HYPERLINK("https://patentcenter.uspto.gov/applications/16573003","Patent Center")</f>
        <v>0.0</v>
      </c>
      <c r="H78" s="2" t="n">
        <f>HYPERLINK("https://worldwide.espacenet.com/patent/search?q=US20200092779","Espacenet")</f>
        <v>0.0</v>
      </c>
      <c r="I78" s="2" t="n">
        <f>HYPERLINK("https://ppubs.uspto.gov/pubwebapp/external.html?q=20200092779.pn.","USPTO")</f>
        <v>0.0</v>
      </c>
      <c r="J78" s="2" t="n">
        <f>HYPERLINK("https://image-ppubs.uspto.gov/dirsearch-public/print/downloadPdf/20200092779","USPTO PDF")</f>
        <v>0.0</v>
      </c>
      <c r="K78" s="2" t="n">
        <f>HYPERLINK("https://sectors.patentforecast.com/pmd/US20200092779","PMD")</f>
        <v>0.0</v>
      </c>
      <c r="L78" s="2" t="n">
        <f>HYPERLINK("https://globaldossier.uspto.gov/result/application/US/16573003/1","US20200092779")</f>
        <v>0.0</v>
      </c>
      <c r="M78" t="s">
        <v>588</v>
      </c>
      <c r="N78" t="s">
        <v>72</v>
      </c>
      <c r="O78" t="s">
        <v>73</v>
      </c>
      <c r="P78" t="s">
        <v>589</v>
      </c>
      <c r="Q78" s="3" t="n">
        <v>43725.0</v>
      </c>
      <c r="R78" s="3" t="n">
        <v>43909.0</v>
      </c>
      <c r="S78" s="3" t="n">
        <v>43910.07471155093</v>
      </c>
      <c r="T78" s="3" t="n">
        <v>43910.41824025463</v>
      </c>
      <c r="U78" t="s">
        <v>590</v>
      </c>
      <c r="V78" t="s">
        <v>591</v>
      </c>
    </row>
    <row r="79">
      <c r="A79" t="s">
        <v>22</v>
      </c>
      <c r="B79" t="s">
        <v>592</v>
      </c>
      <c r="C79" t="s">
        <v>168</v>
      </c>
      <c r="D79" t="s">
        <v>168</v>
      </c>
      <c r="E79" t="s">
        <v>593</v>
      </c>
      <c r="F79" s="2" t="n">
        <f>HYPERLINK("https://patents.google.com/patent/US20200092675","Google")</f>
        <v>0.0</v>
      </c>
      <c r="G79" s="2" t="n">
        <f>HYPERLINK("https://patentcenter.uspto.gov/applications/16393324","Patent Center")</f>
        <v>0.0</v>
      </c>
      <c r="H79" s="2" t="n">
        <f>HYPERLINK("https://worldwide.espacenet.com/patent/search?q=US20200092675","Espacenet")</f>
        <v>0.0</v>
      </c>
      <c r="I79" s="2" t="n">
        <f>HYPERLINK("https://ppubs.uspto.gov/pubwebapp/external.html?q=20200092675.pn.","USPTO")</f>
        <v>0.0</v>
      </c>
      <c r="J79" s="2" t="n">
        <f>HYPERLINK("https://image-ppubs.uspto.gov/dirsearch-public/print/downloadPdf/20200092675","USPTO PDF")</f>
        <v>0.0</v>
      </c>
      <c r="K79" s="2" t="n">
        <f>HYPERLINK("https://sectors.patentforecast.com/pmd/US20200092675","PMD")</f>
        <v>0.0</v>
      </c>
      <c r="L79" s="2" t="n">
        <f>HYPERLINK("https://globaldossier.uspto.gov/result/application/US/16393324/1","US20200092675")</f>
        <v>0.0</v>
      </c>
      <c r="M79" t="s">
        <v>594</v>
      </c>
      <c r="N79" t="s">
        <v>595</v>
      </c>
      <c r="O79" t="s">
        <v>596</v>
      </c>
      <c r="P79" t="s">
        <v>597</v>
      </c>
      <c r="Q79" s="3" t="n">
        <v>43579.0</v>
      </c>
      <c r="R79" s="3" t="n">
        <v>43909.0</v>
      </c>
      <c r="S79" s="3" t="n">
        <v>43910.06360046296</v>
      </c>
      <c r="T79" s="3" t="n">
        <v>43910.418466296294</v>
      </c>
      <c r="U79" t="s">
        <v>598</v>
      </c>
      <c r="V79" t="s">
        <v>599</v>
      </c>
    </row>
    <row r="80">
      <c r="A80" t="s">
        <v>22</v>
      </c>
      <c r="B80" t="s">
        <v>600</v>
      </c>
      <c r="C80" t="s">
        <v>168</v>
      </c>
      <c r="D80" t="s">
        <v>168</v>
      </c>
      <c r="E80" t="s">
        <v>601</v>
      </c>
      <c r="F80" s="2" t="n">
        <f>HYPERLINK("https://patents.google.com/patent/US20200092279","Google")</f>
        <v>0.0</v>
      </c>
      <c r="G80" s="2" t="n">
        <f>HYPERLINK("https://patentcenter.uspto.gov/applications/16694211","Patent Center")</f>
        <v>0.0</v>
      </c>
      <c r="H80" s="2" t="n">
        <f>HYPERLINK("https://worldwide.espacenet.com/patent/search?q=US20200092279","Espacenet")</f>
        <v>0.0</v>
      </c>
      <c r="I80" s="2" t="n">
        <f>HYPERLINK("https://ppubs.uspto.gov/pubwebapp/external.html?q=20200092279.pn.","USPTO")</f>
        <v>0.0</v>
      </c>
      <c r="J80" s="2" t="n">
        <f>HYPERLINK("https://image-ppubs.uspto.gov/dirsearch-public/print/downloadPdf/20200092279","USPTO PDF")</f>
        <v>0.0</v>
      </c>
      <c r="K80" s="2" t="n">
        <f>HYPERLINK("https://sectors.patentforecast.com/pmd/US20200092279","PMD")</f>
        <v>0.0</v>
      </c>
      <c r="L80" s="2" t="n">
        <f>HYPERLINK("https://globaldossier.uspto.gov/result/application/US/16694211/1","US20200092279")</f>
        <v>0.0</v>
      </c>
      <c r="M80" t="s">
        <v>602</v>
      </c>
      <c r="N80" t="s">
        <v>507</v>
      </c>
      <c r="O80" t="s">
        <v>508</v>
      </c>
      <c r="P80" t="s">
        <v>603</v>
      </c>
      <c r="Q80" s="3" t="n">
        <v>43794.0</v>
      </c>
      <c r="R80" s="3" t="n">
        <v>43909.0</v>
      </c>
      <c r="S80" s="3" t="n">
        <v>43910.048669930555</v>
      </c>
      <c r="T80" s="3" t="n">
        <v>43910.41838292824</v>
      </c>
      <c r="U80" t="s">
        <v>604</v>
      </c>
      <c r="V80" t="s">
        <v>605</v>
      </c>
    </row>
    <row r="81">
      <c r="A81" t="s">
        <v>22</v>
      </c>
      <c r="B81" t="s">
        <v>606</v>
      </c>
      <c r="C81" t="s">
        <v>168</v>
      </c>
      <c r="D81" t="s">
        <v>168</v>
      </c>
      <c r="E81" t="s">
        <v>607</v>
      </c>
      <c r="F81" s="2" t="n">
        <f>HYPERLINK("https://patents.google.com/patent/US20200084777","Google")</f>
        <v>0.0</v>
      </c>
      <c r="G81" s="2" t="n">
        <f>HYPERLINK("https://patentcenter.uspto.gov/applications/16569642","Patent Center")</f>
        <v>0.0</v>
      </c>
      <c r="H81" s="2" t="n">
        <f>HYPERLINK("https://worldwide.espacenet.com/patent/search?q=US20200084777","Espacenet")</f>
        <v>0.0</v>
      </c>
      <c r="I81" s="2" t="n">
        <f>HYPERLINK("https://ppubs.uspto.gov/pubwebapp/external.html?q=20200084777.pn.","USPTO")</f>
        <v>0.0</v>
      </c>
      <c r="J81" s="2" t="n">
        <f>HYPERLINK("https://image-ppubs.uspto.gov/dirsearch-public/print/downloadPdf/20200084777","USPTO PDF")</f>
        <v>0.0</v>
      </c>
      <c r="K81" s="2" t="n">
        <f>HYPERLINK("https://sectors.patentforecast.com/pmd/US20200084777","PMD")</f>
        <v>0.0</v>
      </c>
      <c r="L81" s="2" t="n">
        <f>HYPERLINK("https://globaldossier.uspto.gov/result/application/US/16569642/1","US20200084777")</f>
        <v>0.0</v>
      </c>
      <c r="M81" t="s">
        <v>608</v>
      </c>
      <c r="N81" t="s">
        <v>609</v>
      </c>
      <c r="O81" t="s">
        <v>610</v>
      </c>
      <c r="P81" t="s">
        <v>611</v>
      </c>
      <c r="Q81" s="3" t="n">
        <v>43720.0</v>
      </c>
      <c r="R81" s="3" t="n">
        <v>43902.0</v>
      </c>
      <c r="S81" s="3" t="n">
        <v>43903.06673787037</v>
      </c>
      <c r="T81" s="3" t="n">
        <v>43903.3788724537</v>
      </c>
      <c r="U81" t="s">
        <v>612</v>
      </c>
      <c r="V81" t="s">
        <v>613</v>
      </c>
    </row>
    <row r="82">
      <c r="A82" t="s">
        <v>22</v>
      </c>
      <c r="B82" t="s">
        <v>614</v>
      </c>
      <c r="C82" t="s">
        <v>24</v>
      </c>
      <c r="D82" t="s">
        <v>25</v>
      </c>
      <c r="E82" t="s">
        <v>615</v>
      </c>
      <c r="F82" s="2" t="n">
        <f>HYPERLINK("https://patents.google.com/patent/US20200083930","Google")</f>
        <v>0.0</v>
      </c>
      <c r="G82" s="2" t="n">
        <f>HYPERLINK("https://patentcenter.uspto.gov/applications/16683155","Patent Center")</f>
        <v>0.0</v>
      </c>
      <c r="H82" s="2" t="n">
        <f>HYPERLINK("https://worldwide.espacenet.com/patent/search?q=US20200083930","Espacenet")</f>
        <v>0.0</v>
      </c>
      <c r="I82" s="2" t="n">
        <f>HYPERLINK("https://ppubs.uspto.gov/pubwebapp/external.html?q=20200083930.pn.","USPTO")</f>
        <v>0.0</v>
      </c>
      <c r="J82" s="2" t="n">
        <f>HYPERLINK("https://image-ppubs.uspto.gov/dirsearch-public/print/downloadPdf/20200083930","USPTO PDF")</f>
        <v>0.0</v>
      </c>
      <c r="K82" s="2" t="n">
        <f>HYPERLINK("https://sectors.patentforecast.com/pmd/US20200083930","PMD")</f>
        <v>0.0</v>
      </c>
      <c r="L82" s="2" t="n">
        <f>HYPERLINK("https://globaldossier.uspto.gov/result/application/US/16683155/1","US20200083930")</f>
        <v>0.0</v>
      </c>
      <c r="M82" t="s">
        <v>616</v>
      </c>
      <c r="N82" t="s">
        <v>243</v>
      </c>
      <c r="O82" t="s">
        <v>244</v>
      </c>
      <c r="P82" t="s">
        <v>617</v>
      </c>
      <c r="Q82" s="3" t="n">
        <v>43782.0</v>
      </c>
      <c r="R82" s="3" t="n">
        <v>43902.0</v>
      </c>
      <c r="S82" s="3" t="n">
        <v>43903.0721800463</v>
      </c>
      <c r="T82" s="3" t="n">
        <v>43903.37921180556</v>
      </c>
      <c r="U82" t="s">
        <v>618</v>
      </c>
      <c r="V82" t="s">
        <v>619</v>
      </c>
    </row>
    <row r="83">
      <c r="A83" t="s">
        <v>22</v>
      </c>
      <c r="B83" t="s">
        <v>620</v>
      </c>
      <c r="C83" t="s">
        <v>24</v>
      </c>
      <c r="D83" t="s">
        <v>25</v>
      </c>
      <c r="E83" t="s">
        <v>621</v>
      </c>
      <c r="F83" s="2" t="n">
        <f>HYPERLINK("https://patents.google.com/patent/US20200083929","Google")</f>
        <v>0.0</v>
      </c>
      <c r="G83" s="2" t="n">
        <f>HYPERLINK("https://patentcenter.uspto.gov/applications/16683143","Patent Center")</f>
        <v>0.0</v>
      </c>
      <c r="H83" s="2" t="n">
        <f>HYPERLINK("https://worldwide.espacenet.com/patent/search?q=US20200083929","Espacenet")</f>
        <v>0.0</v>
      </c>
      <c r="I83" s="2" t="n">
        <f>HYPERLINK("https://ppubs.uspto.gov/pubwebapp/external.html?q=20200083929.pn.","USPTO")</f>
        <v>0.0</v>
      </c>
      <c r="J83" s="2" t="n">
        <f>HYPERLINK("https://image-ppubs.uspto.gov/dirsearch-public/print/downloadPdf/20200083929","USPTO PDF")</f>
        <v>0.0</v>
      </c>
      <c r="K83" s="2" t="n">
        <f>HYPERLINK("https://sectors.patentforecast.com/pmd/US20200083929","PMD")</f>
        <v>0.0</v>
      </c>
      <c r="L83" s="2" t="n">
        <f>HYPERLINK("https://globaldossier.uspto.gov/result/application/US/16683143/1","US20200083929")</f>
        <v>0.0</v>
      </c>
      <c r="M83" t="s">
        <v>622</v>
      </c>
      <c r="N83" t="s">
        <v>243</v>
      </c>
      <c r="O83" t="s">
        <v>244</v>
      </c>
      <c r="P83" t="s">
        <v>617</v>
      </c>
      <c r="Q83" s="3" t="n">
        <v>43782.0</v>
      </c>
      <c r="R83" s="3" t="n">
        <v>43902.0</v>
      </c>
      <c r="S83" s="3" t="n">
        <v>43903.0721800463</v>
      </c>
      <c r="T83" s="3" t="n">
        <v>43903.379149189816</v>
      </c>
      <c r="U83" t="s">
        <v>623</v>
      </c>
      <c r="V83" t="s">
        <v>624</v>
      </c>
    </row>
    <row r="84">
      <c r="A84" t="s">
        <v>22</v>
      </c>
      <c r="B84" t="s">
        <v>625</v>
      </c>
      <c r="C84" t="s">
        <v>24</v>
      </c>
      <c r="D84" t="s">
        <v>25</v>
      </c>
      <c r="E84" t="s">
        <v>626</v>
      </c>
      <c r="F84" s="2" t="n">
        <f>HYPERLINK("https://patents.google.com/patent/US20200077412","Google")</f>
        <v>0.0</v>
      </c>
      <c r="G84" s="2" t="n">
        <f>HYPERLINK("https://patentcenter.uspto.gov/applications/16554672","Patent Center")</f>
        <v>0.0</v>
      </c>
      <c r="H84" s="2" t="n">
        <f>HYPERLINK("https://worldwide.espacenet.com/patent/search?q=US20200077412","Espacenet")</f>
        <v>0.0</v>
      </c>
      <c r="I84" s="2" t="n">
        <f>HYPERLINK("https://ppubs.uspto.gov/pubwebapp/external.html?q=20200077412.pn.","USPTO")</f>
        <v>0.0</v>
      </c>
      <c r="J84" s="2" t="n">
        <f>HYPERLINK("https://image-ppubs.uspto.gov/dirsearch-public/print/downloadPdf/20200077412","USPTO PDF")</f>
        <v>0.0</v>
      </c>
      <c r="K84" s="2" t="n">
        <f>HYPERLINK("https://sectors.patentforecast.com/pmd/US20200077412","PMD")</f>
        <v>0.0</v>
      </c>
      <c r="L84" s="2" t="n">
        <f>HYPERLINK("https://globaldossier.uspto.gov/result/application/US/16554672/1","US20200077412")</f>
        <v>0.0</v>
      </c>
      <c r="M84" t="s">
        <v>627</v>
      </c>
      <c r="N84" t="s">
        <v>628</v>
      </c>
      <c r="O84" t="s">
        <v>629</v>
      </c>
      <c r="P84" t="s">
        <v>630</v>
      </c>
      <c r="Q84" s="3" t="n">
        <v>43706.0</v>
      </c>
      <c r="R84" s="3" t="n">
        <v>43895.0</v>
      </c>
      <c r="S84" s="3" t="n">
        <v>43896.00945675926</v>
      </c>
      <c r="T84" s="3" t="n">
        <v>43896.565517627314</v>
      </c>
      <c r="U84" t="s">
        <v>631</v>
      </c>
      <c r="V84" t="s">
        <v>632</v>
      </c>
    </row>
    <row r="85">
      <c r="A85" t="s">
        <v>22</v>
      </c>
      <c r="B85" t="s">
        <v>633</v>
      </c>
      <c r="C85" t="s">
        <v>61</v>
      </c>
      <c r="D85" t="s">
        <v>61</v>
      </c>
      <c r="E85" t="s">
        <v>634</v>
      </c>
      <c r="F85" s="2" t="n">
        <f>HYPERLINK("https://patents.google.com/patent/US20200076063","Google")</f>
        <v>0.0</v>
      </c>
      <c r="G85" s="2" t="n">
        <f>HYPERLINK("https://patentcenter.uspto.gov/applications/16674017","Patent Center")</f>
        <v>0.0</v>
      </c>
      <c r="H85" s="2" t="n">
        <f>HYPERLINK("https://worldwide.espacenet.com/patent/search?q=US20200076063","Espacenet")</f>
        <v>0.0</v>
      </c>
      <c r="I85" s="2" t="n">
        <f>HYPERLINK("https://ppubs.uspto.gov/pubwebapp/external.html?q=20200076063.pn.","USPTO")</f>
        <v>0.0</v>
      </c>
      <c r="J85" s="2" t="n">
        <f>HYPERLINK("https://image-ppubs.uspto.gov/dirsearch-public/print/downloadPdf/20200076063","USPTO PDF")</f>
        <v>0.0</v>
      </c>
      <c r="K85" s="2" t="n">
        <f>HYPERLINK("https://sectors.patentforecast.com/pmd/US20200076063","PMD")</f>
        <v>0.0</v>
      </c>
      <c r="L85" s="2" t="n">
        <f>HYPERLINK("https://globaldossier.uspto.gov/result/application/US/16674017/1","US20200076063")</f>
        <v>0.0</v>
      </c>
      <c r="M85" t="s">
        <v>635</v>
      </c>
      <c r="N85" t="s">
        <v>314</v>
      </c>
      <c r="O85" t="s">
        <v>315</v>
      </c>
      <c r="P85" t="s">
        <v>316</v>
      </c>
      <c r="Q85" s="3" t="n">
        <v>43774.0</v>
      </c>
      <c r="R85" s="3" t="n">
        <v>43895.0</v>
      </c>
      <c r="S85" s="3" t="n">
        <v>43896.00343822916</v>
      </c>
      <c r="T85" s="3" t="n">
        <v>43896.56469318287</v>
      </c>
      <c r="U85" t="s">
        <v>636</v>
      </c>
      <c r="V85" t="s">
        <v>637</v>
      </c>
    </row>
    <row r="86">
      <c r="A86" t="s">
        <v>22</v>
      </c>
      <c r="B86" t="s">
        <v>638</v>
      </c>
      <c r="C86" t="s">
        <v>24</v>
      </c>
      <c r="D86" t="s">
        <v>25</v>
      </c>
      <c r="E86" t="s">
        <v>639</v>
      </c>
      <c r="F86" s="2" t="n">
        <f>HYPERLINK("https://patents.google.com/patent/US20200067555","Google")</f>
        <v>0.0</v>
      </c>
      <c r="G86" s="2" t="n">
        <f>HYPERLINK("https://patentcenter.uspto.gov/applications/16344614","Patent Center")</f>
        <v>0.0</v>
      </c>
      <c r="H86" s="2" t="n">
        <f>HYPERLINK("https://worldwide.espacenet.com/patent/search?q=US20200067555","Espacenet")</f>
        <v>0.0</v>
      </c>
      <c r="I86" s="2" t="n">
        <f>HYPERLINK("https://ppubs.uspto.gov/pubwebapp/external.html?q=20200067555.pn.","USPTO")</f>
        <v>0.0</v>
      </c>
      <c r="J86" s="2" t="n">
        <f>HYPERLINK("https://image-ppubs.uspto.gov/dirsearch-public/print/downloadPdf/20200067555","USPTO PDF")</f>
        <v>0.0</v>
      </c>
      <c r="K86" s="2" t="n">
        <f>HYPERLINK("https://sectors.patentforecast.com/pmd/US20200067555","PMD")</f>
        <v>0.0</v>
      </c>
      <c r="L86" s="2" t="n">
        <f>HYPERLINK("https://globaldossier.uspto.gov/result/application/US/16344614/1","US20200067555")</f>
        <v>0.0</v>
      </c>
      <c r="M86" t="s">
        <v>640</v>
      </c>
      <c r="N86" t="s">
        <v>641</v>
      </c>
      <c r="O86" t="s">
        <v>642</v>
      </c>
      <c r="P86" t="s">
        <v>643</v>
      </c>
      <c r="Q86" s="3" t="n">
        <v>43033.0</v>
      </c>
      <c r="R86" s="3" t="n">
        <v>43888.0</v>
      </c>
      <c r="S86" s="3" t="n">
        <v>43889.008665891204</v>
      </c>
      <c r="T86" s="3" t="n">
        <v>43889.513741863426</v>
      </c>
      <c r="U86" t="s">
        <v>644</v>
      </c>
      <c r="V86" t="s">
        <v>645</v>
      </c>
    </row>
    <row r="87">
      <c r="A87" t="s">
        <v>22</v>
      </c>
      <c r="B87" t="s">
        <v>646</v>
      </c>
      <c r="C87" t="s">
        <v>61</v>
      </c>
      <c r="D87" t="s">
        <v>61</v>
      </c>
      <c r="E87" t="s">
        <v>647</v>
      </c>
      <c r="F87" s="2" t="n">
        <f>HYPERLINK("https://patents.google.com/patent/US20200059752","Google")</f>
        <v>0.0</v>
      </c>
      <c r="G87" s="2" t="n">
        <f>HYPERLINK("https://patentcenter.uspto.gov/applications/16532994","Patent Center")</f>
        <v>0.0</v>
      </c>
      <c r="H87" s="2" t="n">
        <f>HYPERLINK("https://worldwide.espacenet.com/patent/search?q=US20200059752","Espacenet")</f>
        <v>0.0</v>
      </c>
      <c r="I87" s="2" t="n">
        <f>HYPERLINK("https://ppubs.uspto.gov/pubwebapp/external.html?q=20200059752.pn.","USPTO")</f>
        <v>0.0</v>
      </c>
      <c r="J87" s="2" t="n">
        <f>HYPERLINK("https://image-ppubs.uspto.gov/dirsearch-public/print/downloadPdf/20200059752","USPTO PDF")</f>
        <v>0.0</v>
      </c>
      <c r="K87" s="2" t="n">
        <f>HYPERLINK("https://sectors.patentforecast.com/pmd/US20200059752","PMD")</f>
        <v>0.0</v>
      </c>
      <c r="L87" s="2" t="n">
        <f>HYPERLINK("https://globaldossier.uspto.gov/result/application/US/16532994/1","US20200059752")</f>
        <v>0.0</v>
      </c>
      <c r="M87" t="s">
        <v>648</v>
      </c>
      <c r="N87" t="s">
        <v>649</v>
      </c>
      <c r="O87" t="s">
        <v>650</v>
      </c>
      <c r="P87" t="s">
        <v>651</v>
      </c>
      <c r="Q87" s="3" t="n">
        <v>43683.0</v>
      </c>
      <c r="R87" s="3" t="n">
        <v>43881.0</v>
      </c>
      <c r="S87" s="3" t="n">
        <v>43882.02598917824</v>
      </c>
      <c r="T87" s="3" t="n">
        <v>43882.40174547453</v>
      </c>
      <c r="U87" t="s">
        <v>652</v>
      </c>
      <c r="V87" t="s">
        <v>653</v>
      </c>
    </row>
    <row r="88">
      <c r="A88" t="s">
        <v>22</v>
      </c>
      <c r="B88" t="s">
        <v>654</v>
      </c>
      <c r="C88" t="s">
        <v>52</v>
      </c>
      <c r="D88" t="s">
        <v>52</v>
      </c>
      <c r="E88" t="s">
        <v>655</v>
      </c>
      <c r="F88" s="2" t="n">
        <f>HYPERLINK("https://patents.google.com/patent/US20200059707","Google")</f>
        <v>0.0</v>
      </c>
      <c r="G88" s="2" t="n">
        <f>HYPERLINK("https://patentcenter.uspto.gov/applications/16555207","Patent Center")</f>
        <v>0.0</v>
      </c>
      <c r="H88" s="2" t="n">
        <f>HYPERLINK("https://worldwide.espacenet.com/patent/search?q=US20200059707","Espacenet")</f>
        <v>0.0</v>
      </c>
      <c r="I88" s="2" t="n">
        <f>HYPERLINK("https://ppubs.uspto.gov/pubwebapp/external.html?q=20200059707.pn.","USPTO")</f>
        <v>0.0</v>
      </c>
      <c r="J88" s="2" t="n">
        <f>HYPERLINK("https://image-ppubs.uspto.gov/dirsearch-public/print/downloadPdf/20200059707","USPTO PDF")</f>
        <v>0.0</v>
      </c>
      <c r="K88" s="2" t="n">
        <f>HYPERLINK("https://sectors.patentforecast.com/pmd/US20200059707","PMD")</f>
        <v>0.0</v>
      </c>
      <c r="L88" s="2" t="n">
        <f>HYPERLINK("https://globaldossier.uspto.gov/result/application/US/16555207/1","US20200059707")</f>
        <v>0.0</v>
      </c>
      <c r="M88" t="s">
        <v>656</v>
      </c>
      <c r="N88" t="s">
        <v>657</v>
      </c>
      <c r="O88" t="s">
        <v>658</v>
      </c>
      <c r="P88" t="s">
        <v>659</v>
      </c>
      <c r="Q88" s="3" t="n">
        <v>43706.0</v>
      </c>
      <c r="R88" s="3" t="n">
        <v>43881.0</v>
      </c>
      <c r="S88" s="3" t="n">
        <v>43882.01453107639</v>
      </c>
      <c r="T88" s="3" t="n">
        <v>43882.40186239583</v>
      </c>
      <c r="U88" t="s">
        <v>660</v>
      </c>
      <c r="V88" t="s">
        <v>661</v>
      </c>
    </row>
    <row r="89">
      <c r="A89" t="s">
        <v>22</v>
      </c>
      <c r="B89" t="s">
        <v>662</v>
      </c>
      <c r="C89" t="s">
        <v>24</v>
      </c>
      <c r="D89" t="s">
        <v>25</v>
      </c>
      <c r="E89" t="s">
        <v>359</v>
      </c>
      <c r="F89" s="2" t="n">
        <f>HYPERLINK("https://patents.google.com/patent/US20200045527","Google")</f>
        <v>0.0</v>
      </c>
      <c r="G89" s="2" t="n">
        <f>HYPERLINK("https://patentcenter.uspto.gov/applications/16272899","Patent Center")</f>
        <v>0.0</v>
      </c>
      <c r="H89" s="2" t="n">
        <f>HYPERLINK("https://worldwide.espacenet.com/patent/search?q=US20200045527","Espacenet")</f>
        <v>0.0</v>
      </c>
      <c r="I89" s="2" t="n">
        <f>HYPERLINK("https://ppubs.uspto.gov/pubwebapp/external.html?q=20200045527.pn.","USPTO")</f>
        <v>0.0</v>
      </c>
      <c r="J89" s="2" t="n">
        <f>HYPERLINK("https://image-ppubs.uspto.gov/dirsearch-public/print/downloadPdf/20200045527","USPTO PDF")</f>
        <v>0.0</v>
      </c>
      <c r="K89" s="2" t="n">
        <f>HYPERLINK("https://sectors.patentforecast.com/pmd/US20200045527","PMD")</f>
        <v>0.0</v>
      </c>
      <c r="L89" s="2" t="n">
        <f>HYPERLINK("https://globaldossier.uspto.gov/result/application/US/16272899/1","US20200045527")</f>
        <v>0.0</v>
      </c>
      <c r="M89" t="s">
        <v>663</v>
      </c>
      <c r="N89" t="s">
        <v>187</v>
      </c>
      <c r="O89" t="s">
        <v>188</v>
      </c>
      <c r="P89" t="s">
        <v>189</v>
      </c>
      <c r="Q89" s="3" t="n">
        <v>43507.0</v>
      </c>
      <c r="R89" s="3" t="n">
        <v>43867.0</v>
      </c>
      <c r="S89" s="3" t="n">
        <v>43868.013536770835</v>
      </c>
      <c r="T89" s="3" t="n">
        <v>43874.40870767361</v>
      </c>
      <c r="U89" t="s">
        <v>664</v>
      </c>
      <c r="V89" t="s">
        <v>362</v>
      </c>
    </row>
    <row r="90">
      <c r="A90" t="s">
        <v>22</v>
      </c>
      <c r="B90" t="s">
        <v>665</v>
      </c>
      <c r="C90" t="s">
        <v>24</v>
      </c>
      <c r="D90" t="s">
        <v>25</v>
      </c>
      <c r="E90" t="s">
        <v>666</v>
      </c>
      <c r="F90" s="2" t="n">
        <f>HYPERLINK("https://patents.google.com/patent/US20200036101","Google")</f>
        <v>0.0</v>
      </c>
      <c r="G90" s="2" t="n">
        <f>HYPERLINK("https://patentcenter.uspto.gov/applications/16593188","Patent Center")</f>
        <v>0.0</v>
      </c>
      <c r="H90" s="2" t="n">
        <f>HYPERLINK("https://worldwide.espacenet.com/patent/search?q=US20200036101","Espacenet")</f>
        <v>0.0</v>
      </c>
      <c r="I90" s="2" t="n">
        <f>HYPERLINK("https://ppubs.uspto.gov/pubwebapp/external.html?q=20200036101.pn.","USPTO")</f>
        <v>0.0</v>
      </c>
      <c r="J90" s="2" t="n">
        <f>HYPERLINK("https://image-ppubs.uspto.gov/dirsearch-public/print/downloadPdf/20200036101","USPTO PDF")</f>
        <v>0.0</v>
      </c>
      <c r="K90" s="2" t="n">
        <f>HYPERLINK("https://sectors.patentforecast.com/pmd/US20200036101","PMD")</f>
        <v>0.0</v>
      </c>
      <c r="L90" s="2" t="n">
        <f>HYPERLINK("https://globaldossier.uspto.gov/result/application/US/16593188/1","US20200036101")</f>
        <v>0.0</v>
      </c>
      <c r="M90" t="s">
        <v>667</v>
      </c>
      <c r="N90" t="s">
        <v>227</v>
      </c>
      <c r="O90" t="s">
        <v>228</v>
      </c>
      <c r="P90" t="s">
        <v>197</v>
      </c>
      <c r="Q90" s="3" t="n">
        <v>43742.0</v>
      </c>
      <c r="R90" s="3" t="n">
        <v>43860.0</v>
      </c>
      <c r="S90" s="3" t="n">
        <v>43861.00760871528</v>
      </c>
      <c r="T90" s="3" t="n">
        <v>43861.552455694444</v>
      </c>
      <c r="U90" t="s">
        <v>198</v>
      </c>
      <c r="V90" t="s">
        <v>199</v>
      </c>
    </row>
    <row r="91">
      <c r="A91" t="s">
        <v>22</v>
      </c>
      <c r="B91" t="s">
        <v>668</v>
      </c>
      <c r="C91" t="s">
        <v>61</v>
      </c>
      <c r="D91" t="s">
        <v>61</v>
      </c>
      <c r="E91" t="s">
        <v>669</v>
      </c>
      <c r="F91" s="2" t="n">
        <f>HYPERLINK("https://patents.google.com/patent/US20200021959","Google")</f>
        <v>0.0</v>
      </c>
      <c r="G91" s="2" t="n">
        <f>HYPERLINK("https://patentcenter.uspto.gov/applications/16516732","Patent Center")</f>
        <v>0.0</v>
      </c>
      <c r="H91" s="2" t="n">
        <f>HYPERLINK("https://worldwide.espacenet.com/patent/search?q=US20200021959","Espacenet")</f>
        <v>0.0</v>
      </c>
      <c r="I91" s="2" t="n">
        <f>HYPERLINK("https://ppubs.uspto.gov/pubwebapp/external.html?q=20200021959.pn.","USPTO")</f>
        <v>0.0</v>
      </c>
      <c r="J91" s="2" t="n">
        <f>HYPERLINK("https://image-ppubs.uspto.gov/dirsearch-public/print/downloadPdf/20200021959","USPTO PDF")</f>
        <v>0.0</v>
      </c>
      <c r="K91" s="2" t="n">
        <f>HYPERLINK("https://sectors.patentforecast.com/pmd/US20200021959","PMD")</f>
        <v>0.0</v>
      </c>
      <c r="L91" s="2" t="n">
        <f>HYPERLINK("https://globaldossier.uspto.gov/result/application/US/16516732/1","US20200021959")</f>
        <v>0.0</v>
      </c>
      <c r="M91" t="s">
        <v>670</v>
      </c>
      <c r="N91" t="s">
        <v>671</v>
      </c>
      <c r="O91" t="s">
        <v>672</v>
      </c>
      <c r="P91" t="s">
        <v>673</v>
      </c>
      <c r="Q91" s="3" t="n">
        <v>43151.0</v>
      </c>
      <c r="R91" s="3" t="n">
        <v>43846.0</v>
      </c>
      <c r="S91" s="3" t="n">
        <v>43847.01458106482</v>
      </c>
      <c r="T91" s="3" t="n">
        <v>43847.499334305554</v>
      </c>
      <c r="U91" t="s">
        <v>674</v>
      </c>
      <c r="V91" t="s">
        <v>675</v>
      </c>
    </row>
    <row r="92">
      <c r="A92" t="s">
        <v>22</v>
      </c>
      <c r="B92" t="s">
        <v>676</v>
      </c>
      <c r="C92" t="s">
        <v>52</v>
      </c>
      <c r="D92" t="s">
        <v>52</v>
      </c>
      <c r="E92" t="s">
        <v>677</v>
      </c>
      <c r="F92" s="2" t="n">
        <f>HYPERLINK("https://patents.google.com/patent/US20200021948","Google")</f>
        <v>0.0</v>
      </c>
      <c r="G92" s="2" t="n">
        <f>HYPERLINK("https://patentcenter.uspto.gov/applications/16559495","Patent Center")</f>
        <v>0.0</v>
      </c>
      <c r="H92" s="2" t="n">
        <f>HYPERLINK("https://worldwide.espacenet.com/patent/search?q=US20200021948","Espacenet")</f>
        <v>0.0</v>
      </c>
      <c r="I92" s="2" t="n">
        <f>HYPERLINK("https://ppubs.uspto.gov/pubwebapp/external.html?q=20200021948.pn.","USPTO")</f>
        <v>0.0</v>
      </c>
      <c r="J92" s="2" t="n">
        <f>HYPERLINK("https://image-ppubs.uspto.gov/dirsearch-public/print/downloadPdf/20200021948","USPTO PDF")</f>
        <v>0.0</v>
      </c>
      <c r="K92" s="2" t="n">
        <f>HYPERLINK("https://sectors.patentforecast.com/pmd/US20200021948","PMD")</f>
        <v>0.0</v>
      </c>
      <c r="L92" s="2" t="n">
        <f>HYPERLINK("https://globaldossier.uspto.gov/result/application/US/16559495/1","US20200021948")</f>
        <v>0.0</v>
      </c>
      <c r="M92" t="s">
        <v>678</v>
      </c>
      <c r="N92" t="s">
        <v>679</v>
      </c>
      <c r="O92" t="s">
        <v>680</v>
      </c>
      <c r="P92" t="s">
        <v>681</v>
      </c>
      <c r="Q92" s="3" t="n">
        <v>43711.0</v>
      </c>
      <c r="R92" s="3" t="n">
        <v>43846.0</v>
      </c>
      <c r="S92" s="3" t="n">
        <v>43846.99351625</v>
      </c>
      <c r="T92" s="3" t="n">
        <v>43847.497165162036</v>
      </c>
      <c r="U92" t="s">
        <v>682</v>
      </c>
      <c r="V92" t="s">
        <v>683</v>
      </c>
    </row>
    <row r="93">
      <c r="A93" t="s">
        <v>22</v>
      </c>
      <c r="B93" t="s">
        <v>684</v>
      </c>
      <c r="C93" t="s">
        <v>61</v>
      </c>
      <c r="D93" t="s">
        <v>61</v>
      </c>
      <c r="E93" t="s">
        <v>685</v>
      </c>
      <c r="F93" s="2" t="n">
        <f>HYPERLINK("https://patents.google.com/patent/US20200015156","Google")</f>
        <v>0.0</v>
      </c>
      <c r="G93" s="2" t="n">
        <f>HYPERLINK("https://patentcenter.uspto.gov/applications/16572185","Patent Center")</f>
        <v>0.0</v>
      </c>
      <c r="H93" s="2" t="n">
        <f>HYPERLINK("https://worldwide.espacenet.com/patent/search?q=US20200015156","Espacenet")</f>
        <v>0.0</v>
      </c>
      <c r="I93" s="2" t="n">
        <f>HYPERLINK("https://ppubs.uspto.gov/pubwebapp/external.html?q=20200015156.pn.","USPTO")</f>
        <v>0.0</v>
      </c>
      <c r="J93" s="2" t="n">
        <f>HYPERLINK("https://image-ppubs.uspto.gov/dirsearch-public/print/downloadPdf/20200015156","USPTO PDF")</f>
        <v>0.0</v>
      </c>
      <c r="K93" s="2" t="n">
        <f>HYPERLINK("https://sectors.patentforecast.com/pmd/US20200015156","PMD")</f>
        <v>0.0</v>
      </c>
      <c r="L93" s="2" t="n">
        <f>HYPERLINK("https://globaldossier.uspto.gov/result/application/US/16572185/1","US20200015156")</f>
        <v>0.0</v>
      </c>
      <c r="M93" t="s">
        <v>686</v>
      </c>
      <c r="N93" t="s">
        <v>687</v>
      </c>
      <c r="O93" t="s">
        <v>688</v>
      </c>
      <c r="P93" t="s">
        <v>689</v>
      </c>
      <c r="Q93" s="3" t="n">
        <v>43724.0</v>
      </c>
      <c r="R93" s="3" t="n">
        <v>43839.0</v>
      </c>
      <c r="S93" s="3" t="n">
        <v>43839.98455613426</v>
      </c>
      <c r="T93" s="3" t="n">
        <v>43840.57175275463</v>
      </c>
      <c r="U93" t="s">
        <v>690</v>
      </c>
      <c r="V93" t="s">
        <v>691</v>
      </c>
    </row>
    <row r="94">
      <c r="A94" t="s">
        <v>22</v>
      </c>
      <c r="B94" t="s">
        <v>692</v>
      </c>
      <c r="C94" t="s">
        <v>168</v>
      </c>
      <c r="D94" t="s">
        <v>168</v>
      </c>
      <c r="E94" t="s">
        <v>521</v>
      </c>
      <c r="F94" s="2" t="n">
        <f>HYPERLINK("https://patents.google.com/patent/US20200006716","Google")</f>
        <v>0.0</v>
      </c>
      <c r="G94" s="2" t="n">
        <f>HYPERLINK("https://patentcenter.uspto.gov/applications/16443266","Patent Center")</f>
        <v>0.0</v>
      </c>
      <c r="H94" s="2" t="n">
        <f>HYPERLINK("https://worldwide.espacenet.com/patent/search?q=US20200006716","Espacenet")</f>
        <v>0.0</v>
      </c>
      <c r="I94" s="2" t="n">
        <f>HYPERLINK("https://ppubs.uspto.gov/pubwebapp/external.html?q=20200006716.pn.","USPTO")</f>
        <v>0.0</v>
      </c>
      <c r="J94" s="2" t="n">
        <f>HYPERLINK("https://image-ppubs.uspto.gov/dirsearch-public/print/downloadPdf/20200006716","USPTO PDF")</f>
        <v>0.0</v>
      </c>
      <c r="K94" s="2" t="n">
        <f>HYPERLINK("https://sectors.patentforecast.com/pmd/US20200006716","PMD")</f>
        <v>0.0</v>
      </c>
      <c r="L94" s="2" t="n">
        <f>HYPERLINK("https://globaldossier.uspto.gov/result/application/US/16443266/1","US20200006716")</f>
        <v>0.0</v>
      </c>
      <c r="M94" t="s">
        <v>693</v>
      </c>
      <c r="N94" t="s">
        <v>523</v>
      </c>
      <c r="O94" t="s">
        <v>524</v>
      </c>
      <c r="P94" t="s">
        <v>694</v>
      </c>
      <c r="Q94" s="3" t="n">
        <v>43633.0</v>
      </c>
      <c r="R94" s="3" t="n">
        <v>43832.0</v>
      </c>
      <c r="S94" s="3" t="n">
        <v>43837.995782847225</v>
      </c>
      <c r="T94" s="3" t="n">
        <v>43840.57501877315</v>
      </c>
      <c r="U94" t="s">
        <v>695</v>
      </c>
      <c r="V94" t="s">
        <v>527</v>
      </c>
    </row>
    <row r="95">
      <c r="A95" t="s">
        <v>22</v>
      </c>
      <c r="B95" t="s">
        <v>696</v>
      </c>
      <c r="C95" t="s">
        <v>24</v>
      </c>
      <c r="D95" t="s">
        <v>25</v>
      </c>
      <c r="E95" t="s">
        <v>697</v>
      </c>
      <c r="F95" s="2" t="n">
        <f>HYPERLINK("https://patents.google.com/patent/US20200000209","Google")</f>
        <v>0.0</v>
      </c>
      <c r="G95" s="2" t="n">
        <f>HYPERLINK("https://patentcenter.uspto.gov/applications/16460324","Patent Center")</f>
        <v>0.0</v>
      </c>
      <c r="H95" s="2" t="n">
        <f>HYPERLINK("https://worldwide.espacenet.com/patent/search?q=US20200000209","Espacenet")</f>
        <v>0.0</v>
      </c>
      <c r="I95" s="2" t="n">
        <f>HYPERLINK("https://ppubs.uspto.gov/pubwebapp/external.html?q=20200000209.pn.","USPTO")</f>
        <v>0.0</v>
      </c>
      <c r="J95" s="2" t="n">
        <f>HYPERLINK("https://image-ppubs.uspto.gov/dirsearch-public/print/downloadPdf/20200000209","USPTO PDF")</f>
        <v>0.0</v>
      </c>
      <c r="K95" s="2" t="n">
        <f>HYPERLINK("https://sectors.patentforecast.com/pmd/US20200000209","PMD")</f>
        <v>0.0</v>
      </c>
      <c r="L95" s="2" t="n">
        <f>HYPERLINK("https://globaldossier.uspto.gov/result/application/US/16460324/1","US20200000209")</f>
        <v>0.0</v>
      </c>
      <c r="M95" t="s">
        <v>698</v>
      </c>
      <c r="N95" t="s">
        <v>699</v>
      </c>
      <c r="O95" t="s">
        <v>700</v>
      </c>
      <c r="P95" t="s">
        <v>701</v>
      </c>
      <c r="Q95" s="3" t="n">
        <v>43648.0</v>
      </c>
      <c r="R95" s="3" t="n">
        <v>43832.0</v>
      </c>
      <c r="S95" s="3" t="n">
        <v>43868.00288893519</v>
      </c>
      <c r="T95" s="3" t="n">
        <v>43874.40618488426</v>
      </c>
      <c r="U95" t="s">
        <v>702</v>
      </c>
      <c r="V95" t="s">
        <v>703</v>
      </c>
    </row>
    <row r="96">
      <c r="A96" t="s">
        <v>22</v>
      </c>
      <c r="B96" t="s">
        <v>704</v>
      </c>
      <c r="C96" t="s">
        <v>24</v>
      </c>
      <c r="D96" t="s">
        <v>25</v>
      </c>
      <c r="E96" t="s">
        <v>705</v>
      </c>
      <c r="F96" s="2" t="n">
        <f>HYPERLINK("https://patents.google.com/patent/US20190393930","Google")</f>
        <v>0.0</v>
      </c>
      <c r="G96" s="2" t="n">
        <f>HYPERLINK("https://patentcenter.uspto.gov/applications/16447059","Patent Center")</f>
        <v>0.0</v>
      </c>
      <c r="H96" s="2" t="n">
        <f>HYPERLINK("https://worldwide.espacenet.com/patent/search?q=US20190393930","Espacenet")</f>
        <v>0.0</v>
      </c>
      <c r="I96" s="2" t="n">
        <f>HYPERLINK("https://ppubs.uspto.gov/pubwebapp/external.html?q=20190393930.pn.","USPTO")</f>
        <v>0.0</v>
      </c>
      <c r="J96" s="2" t="n">
        <f>HYPERLINK("https://image-ppubs.uspto.gov/dirsearch-public/print/downloadPdf/20190393930","USPTO PDF")</f>
        <v>0.0</v>
      </c>
      <c r="K96" s="2" t="n">
        <f>HYPERLINK("https://sectors.patentforecast.com/pmd/US20190393930","PMD")</f>
        <v>0.0</v>
      </c>
      <c r="L96" s="2" t="n">
        <f>HYPERLINK("https://globaldossier.uspto.gov/result/application/US/16447059/1","US20190393930")</f>
        <v>0.0</v>
      </c>
      <c r="M96" t="s">
        <v>706</v>
      </c>
      <c r="N96" t="s">
        <v>707</v>
      </c>
      <c r="O96" t="s">
        <v>708</v>
      </c>
      <c r="P96" t="s">
        <v>709</v>
      </c>
      <c r="Q96" s="3" t="n">
        <v>43636.0</v>
      </c>
      <c r="R96" s="3" t="n">
        <v>43825.0</v>
      </c>
      <c r="S96" s="3" t="n">
        <v>43825.98826469907</v>
      </c>
      <c r="T96" s="3" t="n">
        <v>43826.40981481481</v>
      </c>
      <c r="U96" t="s">
        <v>710</v>
      </c>
      <c r="V96" t="s">
        <v>711</v>
      </c>
    </row>
    <row r="97">
      <c r="A97" t="s">
        <v>22</v>
      </c>
      <c r="B97" t="s">
        <v>712</v>
      </c>
      <c r="C97" t="s">
        <v>24</v>
      </c>
      <c r="D97" t="s">
        <v>25</v>
      </c>
      <c r="E97" t="s">
        <v>713</v>
      </c>
      <c r="F97" s="2" t="n">
        <f>HYPERLINK("https://patents.google.com/patent/US20190386707","Google")</f>
        <v>0.0</v>
      </c>
      <c r="G97" s="2" t="n">
        <f>HYPERLINK("https://patentcenter.uspto.gov/applications/16216735","Patent Center")</f>
        <v>0.0</v>
      </c>
      <c r="H97" s="2" t="n">
        <f>HYPERLINK("https://worldwide.espacenet.com/patent/search?q=US20190386707","Espacenet")</f>
        <v>0.0</v>
      </c>
      <c r="I97" s="2" t="n">
        <f>HYPERLINK("https://ppubs.uspto.gov/pubwebapp/external.html?q=20190386707.pn.","USPTO")</f>
        <v>0.0</v>
      </c>
      <c r="J97" s="2" t="n">
        <f>HYPERLINK("https://image-ppubs.uspto.gov/dirsearch-public/print/downloadPdf/20190386707","USPTO PDF")</f>
        <v>0.0</v>
      </c>
      <c r="K97" s="2" t="n">
        <f>HYPERLINK("https://sectors.patentforecast.com/pmd/US20190386707","PMD")</f>
        <v>0.0</v>
      </c>
      <c r="L97" s="2" t="n">
        <f>HYPERLINK("https://globaldossier.uspto.gov/result/application/US/16216735/1","US20190386707")</f>
        <v>0.0</v>
      </c>
      <c r="M97" t="s">
        <v>714</v>
      </c>
      <c r="N97" t="s">
        <v>243</v>
      </c>
      <c r="O97" t="s">
        <v>244</v>
      </c>
      <c r="P97" t="s">
        <v>715</v>
      </c>
      <c r="Q97" s="3" t="n">
        <v>43445.0</v>
      </c>
      <c r="R97" s="3" t="n">
        <v>43818.0</v>
      </c>
      <c r="S97" s="3" t="n">
        <v>43818.992938854164</v>
      </c>
      <c r="T97" s="3" t="n">
        <v>43819.418826168985</v>
      </c>
      <c r="U97" t="s">
        <v>716</v>
      </c>
      <c r="V97" t="s">
        <v>717</v>
      </c>
    </row>
    <row r="98">
      <c r="A98" t="s">
        <v>22</v>
      </c>
      <c r="B98" t="s">
        <v>718</v>
      </c>
      <c r="C98" t="s">
        <v>61</v>
      </c>
      <c r="D98" t="s">
        <v>61</v>
      </c>
      <c r="E98" t="s">
        <v>719</v>
      </c>
      <c r="F98" s="2" t="n">
        <f>HYPERLINK("https://patents.google.com/patent/US20190380170","Google")</f>
        <v>0.0</v>
      </c>
      <c r="G98" s="2" t="n">
        <f>HYPERLINK("https://patentcenter.uspto.gov/applications/16488679","Patent Center")</f>
        <v>0.0</v>
      </c>
      <c r="H98" s="2" t="n">
        <f>HYPERLINK("https://worldwide.espacenet.com/patent/search?q=US20190380170","Espacenet")</f>
        <v>0.0</v>
      </c>
      <c r="I98" s="2" t="n">
        <f>HYPERLINK("https://ppubs.uspto.gov/pubwebapp/external.html?q=20190380170.pn.","USPTO")</f>
        <v>0.0</v>
      </c>
      <c r="J98" s="2" t="n">
        <f>HYPERLINK("https://image-ppubs.uspto.gov/dirsearch-public/print/downloadPdf/20190380170","USPTO PDF")</f>
        <v>0.0</v>
      </c>
      <c r="K98" s="2" t="n">
        <f>HYPERLINK("https://sectors.patentforecast.com/pmd/US20190380170","PMD")</f>
        <v>0.0</v>
      </c>
      <c r="L98" s="2" t="n">
        <f>HYPERLINK("https://globaldossier.uspto.gov/result/application/US/16488679/1","US20190380170")</f>
        <v>0.0</v>
      </c>
      <c r="M98" t="s">
        <v>720</v>
      </c>
      <c r="N98" t="s">
        <v>721</v>
      </c>
      <c r="O98" t="s">
        <v>722</v>
      </c>
      <c r="P98" t="s">
        <v>723</v>
      </c>
      <c r="Q98" s="3" t="n">
        <v>43136.0</v>
      </c>
      <c r="R98" s="3" t="n">
        <v>43811.0</v>
      </c>
      <c r="S98" s="3" t="n">
        <v>43817.02778322917</v>
      </c>
      <c r="T98" s="3" t="n">
        <v>43817.63918091435</v>
      </c>
      <c r="U98" t="s">
        <v>724</v>
      </c>
      <c r="V98" t="s">
        <v>725</v>
      </c>
    </row>
    <row r="99">
      <c r="A99" t="s">
        <v>22</v>
      </c>
      <c r="B99" t="s">
        <v>726</v>
      </c>
      <c r="C99" t="s">
        <v>24</v>
      </c>
      <c r="D99" t="s">
        <v>25</v>
      </c>
      <c r="E99" t="s">
        <v>727</v>
      </c>
      <c r="F99" s="2" t="n">
        <f>HYPERLINK("https://patents.google.com/patent/US20190372629","Google")</f>
        <v>0.0</v>
      </c>
      <c r="G99" s="2" t="n">
        <f>HYPERLINK("https://patentcenter.uspto.gov/applications/16540033","Patent Center")</f>
        <v>0.0</v>
      </c>
      <c r="H99" s="2" t="n">
        <f>HYPERLINK("https://worldwide.espacenet.com/patent/search?q=US20190372629","Espacenet")</f>
        <v>0.0</v>
      </c>
      <c r="I99" s="2" t="n">
        <f>HYPERLINK("https://ppubs.uspto.gov/pubwebapp/external.html?q=20190372629.pn.","USPTO")</f>
        <v>0.0</v>
      </c>
      <c r="J99" s="2" t="n">
        <f>HYPERLINK("https://image-ppubs.uspto.gov/dirsearch-public/print/downloadPdf/20190372629","USPTO PDF")</f>
        <v>0.0</v>
      </c>
      <c r="K99" s="2" t="n">
        <f>HYPERLINK("https://sectors.patentforecast.com/pmd/US20190372629","PMD")</f>
        <v>0.0</v>
      </c>
      <c r="L99" s="2" t="n">
        <f>HYPERLINK("https://globaldossier.uspto.gov/result/application/US/16540033/1","US20190372629")</f>
        <v>0.0</v>
      </c>
      <c r="M99" t="s">
        <v>728</v>
      </c>
      <c r="N99" t="s">
        <v>154</v>
      </c>
      <c r="O99" t="s">
        <v>155</v>
      </c>
      <c r="P99" t="s">
        <v>156</v>
      </c>
      <c r="Q99" s="3" t="n">
        <v>43690.0</v>
      </c>
      <c r="R99" s="3" t="n">
        <v>43804.0</v>
      </c>
      <c r="S99" s="3" t="n">
        <v>44496.75751278935</v>
      </c>
      <c r="T99" s="3" t="n">
        <v>44496.761683125</v>
      </c>
      <c r="U99" t="s">
        <v>729</v>
      </c>
      <c r="V99" t="s">
        <v>323</v>
      </c>
    </row>
    <row r="100">
      <c r="A100" t="s">
        <v>22</v>
      </c>
      <c r="B100" t="s">
        <v>730</v>
      </c>
      <c r="C100" t="s">
        <v>24</v>
      </c>
      <c r="D100" t="s">
        <v>25</v>
      </c>
      <c r="E100" t="s">
        <v>731</v>
      </c>
      <c r="F100" s="2" t="n">
        <f>HYPERLINK("https://patents.google.com/patent/US20190364139","Google")</f>
        <v>0.0</v>
      </c>
      <c r="G100" s="2" t="n">
        <f>HYPERLINK("https://patentcenter.uspto.gov/applications/16536414","Patent Center")</f>
        <v>0.0</v>
      </c>
      <c r="H100" s="2" t="n">
        <f>HYPERLINK("https://worldwide.espacenet.com/patent/search?q=US20190364139","Espacenet")</f>
        <v>0.0</v>
      </c>
      <c r="I100" s="2" t="n">
        <f>HYPERLINK("https://ppubs.uspto.gov/pubwebapp/external.html?q=20190364139.pn.","USPTO")</f>
        <v>0.0</v>
      </c>
      <c r="J100" s="2" t="n">
        <f>HYPERLINK("https://image-ppubs.uspto.gov/dirsearch-public/print/downloadPdf/20190364139","USPTO PDF")</f>
        <v>0.0</v>
      </c>
      <c r="K100" s="2" t="n">
        <f>HYPERLINK("https://sectors.patentforecast.com/pmd/US20190364139","PMD")</f>
        <v>0.0</v>
      </c>
      <c r="L100" s="2" t="n">
        <f>HYPERLINK("https://globaldossier.uspto.gov/result/application/US/16536414/1","US20190364139")</f>
        <v>0.0</v>
      </c>
      <c r="M100" t="s">
        <v>732</v>
      </c>
      <c r="N100" t="s">
        <v>314</v>
      </c>
      <c r="O100" t="s">
        <v>315</v>
      </c>
      <c r="P100" t="s">
        <v>316</v>
      </c>
      <c r="Q100" s="3" t="n">
        <v>43686.0</v>
      </c>
      <c r="R100" s="3" t="n">
        <v>43797.0</v>
      </c>
      <c r="S100" s="3" t="n">
        <v>43797.98072736111</v>
      </c>
      <c r="T100" s="3" t="n">
        <v>43801.41251313657</v>
      </c>
      <c r="U100" t="s">
        <v>733</v>
      </c>
      <c r="V100" t="s">
        <v>318</v>
      </c>
    </row>
    <row r="101">
      <c r="A101" t="s">
        <v>22</v>
      </c>
      <c r="B101" t="s">
        <v>734</v>
      </c>
      <c r="C101" t="s">
        <v>168</v>
      </c>
      <c r="D101" t="s">
        <v>168</v>
      </c>
      <c r="E101" t="s">
        <v>735</v>
      </c>
      <c r="F101" s="2" t="n">
        <f>HYPERLINK("https://patents.google.com/patent/US20190343265","Google")</f>
        <v>0.0</v>
      </c>
      <c r="G101" s="2" t="n">
        <f>HYPERLINK("https://patentcenter.uspto.gov/applications/16189146","Patent Center")</f>
        <v>0.0</v>
      </c>
      <c r="H101" s="2" t="n">
        <f>HYPERLINK("https://worldwide.espacenet.com/patent/search?q=US20190343265","Espacenet")</f>
        <v>0.0</v>
      </c>
      <c r="I101" s="2" t="n">
        <f>HYPERLINK("https://ppubs.uspto.gov/pubwebapp/external.html?q=20190343265.pn.","USPTO")</f>
        <v>0.0</v>
      </c>
      <c r="J101" s="2" t="n">
        <f>HYPERLINK("https://image-ppubs.uspto.gov/dirsearch-public/print/downloadPdf/20190343265","USPTO PDF")</f>
        <v>0.0</v>
      </c>
      <c r="K101" s="2" t="n">
        <f>HYPERLINK("https://sectors.patentforecast.com/pmd/US20190343265","PMD")</f>
        <v>0.0</v>
      </c>
      <c r="L101" s="2" t="n">
        <f>HYPERLINK("https://globaldossier.uspto.gov/result/application/US/16189146/1","US20190343265")</f>
        <v>0.0</v>
      </c>
      <c r="M101" t="s">
        <v>736</v>
      </c>
      <c r="N101" t="s">
        <v>227</v>
      </c>
      <c r="O101" t="s">
        <v>228</v>
      </c>
      <c r="P101" t="s">
        <v>737</v>
      </c>
      <c r="Q101" s="3" t="n">
        <v>43417.0</v>
      </c>
      <c r="R101" s="3" t="n">
        <v>43783.0</v>
      </c>
      <c r="S101" s="3" t="n">
        <v>43787.46957394676</v>
      </c>
      <c r="T101" s="3" t="n">
        <v>43789.4295846875</v>
      </c>
      <c r="U101" t="s">
        <v>738</v>
      </c>
      <c r="V101" t="s">
        <v>739</v>
      </c>
    </row>
    <row r="102">
      <c r="A102" t="s">
        <v>22</v>
      </c>
      <c r="B102" t="s">
        <v>740</v>
      </c>
      <c r="C102" t="s">
        <v>24</v>
      </c>
      <c r="D102" t="s">
        <v>25</v>
      </c>
      <c r="E102" t="s">
        <v>639</v>
      </c>
      <c r="F102" s="2" t="n">
        <f>HYPERLINK("https://patents.google.com/patent/US20190326674","Google")</f>
        <v>0.0</v>
      </c>
      <c r="G102" s="2" t="n">
        <f>HYPERLINK("https://patentcenter.uspto.gov/applications/16296900","Patent Center")</f>
        <v>0.0</v>
      </c>
      <c r="H102" s="2" t="n">
        <f>HYPERLINK("https://worldwide.espacenet.com/patent/search?q=US20190326674","Espacenet")</f>
        <v>0.0</v>
      </c>
      <c r="I102" s="2" t="n">
        <f>HYPERLINK("https://ppubs.uspto.gov/pubwebapp/external.html?q=20190326674.pn.","USPTO")</f>
        <v>0.0</v>
      </c>
      <c r="J102" s="2" t="n">
        <f>HYPERLINK("https://image-ppubs.uspto.gov/dirsearch-public/print/downloadPdf/20190326674","USPTO PDF")</f>
        <v>0.0</v>
      </c>
      <c r="K102" s="2" t="n">
        <f>HYPERLINK("https://sectors.patentforecast.com/pmd/US20190326674","PMD")</f>
        <v>0.0</v>
      </c>
      <c r="L102" s="2" t="n">
        <f>HYPERLINK("https://globaldossier.uspto.gov/result/application/US/16296900/1","US20190326674")</f>
        <v>0.0</v>
      </c>
      <c r="M102" t="s">
        <v>741</v>
      </c>
      <c r="N102" t="s">
        <v>72</v>
      </c>
      <c r="O102" t="s">
        <v>73</v>
      </c>
      <c r="P102" t="s">
        <v>742</v>
      </c>
      <c r="Q102" s="3" t="n">
        <v>43532.0</v>
      </c>
      <c r="R102" s="3" t="n">
        <v>43762.0</v>
      </c>
      <c r="S102" s="3" t="n">
        <v>43894.00552170139</v>
      </c>
      <c r="T102" s="3" t="n">
        <v>43894.45172795139</v>
      </c>
      <c r="U102" t="s">
        <v>743</v>
      </c>
      <c r="V102" t="s">
        <v>744</v>
      </c>
    </row>
    <row r="103">
      <c r="A103" t="s">
        <v>22</v>
      </c>
      <c r="B103" t="s">
        <v>745</v>
      </c>
      <c r="C103" t="s">
        <v>24</v>
      </c>
      <c r="D103" t="s">
        <v>25</v>
      </c>
      <c r="E103" t="s">
        <v>325</v>
      </c>
      <c r="F103" s="2" t="n">
        <f>HYPERLINK("https://patents.google.com/patent/US20190326660","Google")</f>
        <v>0.0</v>
      </c>
      <c r="G103" s="2" t="n">
        <f>HYPERLINK("https://patentcenter.uspto.gov/applications/16502574","Patent Center")</f>
        <v>0.0</v>
      </c>
      <c r="H103" s="2" t="n">
        <f>HYPERLINK("https://worldwide.espacenet.com/patent/search?q=US20190326660","Espacenet")</f>
        <v>0.0</v>
      </c>
      <c r="I103" s="2" t="n">
        <f>HYPERLINK("https://ppubs.uspto.gov/pubwebapp/external.html?q=20190326660.pn.","USPTO")</f>
        <v>0.0</v>
      </c>
      <c r="J103" s="2" t="n">
        <f>HYPERLINK("https://image-ppubs.uspto.gov/dirsearch-public/print/downloadPdf/20190326660","USPTO PDF")</f>
        <v>0.0</v>
      </c>
      <c r="K103" s="2" t="n">
        <f>HYPERLINK("https://sectors.patentforecast.com/pmd/US20190326660","PMD")</f>
        <v>0.0</v>
      </c>
      <c r="L103" s="2" t="n">
        <f>HYPERLINK("https://globaldossier.uspto.gov/result/application/US/16502574/1","US20190326660")</f>
        <v>0.0</v>
      </c>
      <c r="M103" t="s">
        <v>746</v>
      </c>
      <c r="N103" t="s">
        <v>314</v>
      </c>
      <c r="O103" t="s">
        <v>315</v>
      </c>
      <c r="P103" t="s">
        <v>316</v>
      </c>
      <c r="Q103" s="3" t="n">
        <v>43649.0</v>
      </c>
      <c r="R103" s="3" t="n">
        <v>43762.0</v>
      </c>
      <c r="S103" s="3" t="n">
        <v>43787.400969849536</v>
      </c>
      <c r="T103" s="3" t="n">
        <v>43788.676532199075</v>
      </c>
      <c r="U103" t="s">
        <v>747</v>
      </c>
      <c r="V103" t="s">
        <v>748</v>
      </c>
    </row>
    <row r="104">
      <c r="A104" t="s">
        <v>22</v>
      </c>
      <c r="B104" t="s">
        <v>749</v>
      </c>
      <c r="C104" t="s">
        <v>168</v>
      </c>
      <c r="D104" t="s">
        <v>168</v>
      </c>
      <c r="E104" t="s">
        <v>750</v>
      </c>
      <c r="F104" s="2" t="n">
        <f>HYPERLINK("https://patents.google.com/patent/US20190319351","Google")</f>
        <v>0.0</v>
      </c>
      <c r="G104" s="2" t="n">
        <f>HYPERLINK("https://patentcenter.uspto.gov/applications/15990765","Patent Center")</f>
        <v>0.0</v>
      </c>
      <c r="H104" s="2" t="n">
        <f>HYPERLINK("https://worldwide.espacenet.com/patent/search?q=US20190319351","Espacenet")</f>
        <v>0.0</v>
      </c>
      <c r="I104" s="2" t="n">
        <f>HYPERLINK("https://ppubs.uspto.gov/pubwebapp/external.html?q=20190319351.pn.","USPTO")</f>
        <v>0.0</v>
      </c>
      <c r="J104" s="2" t="n">
        <f>HYPERLINK("https://image-ppubs.uspto.gov/dirsearch-public/print/downloadPdf/20190319351","USPTO PDF")</f>
        <v>0.0</v>
      </c>
      <c r="K104" s="2" t="n">
        <f>HYPERLINK("https://sectors.patentforecast.com/pmd/US20190319351","PMD")</f>
        <v>0.0</v>
      </c>
      <c r="L104" s="2" t="n">
        <f>HYPERLINK("https://globaldossier.uspto.gov/result/application/US/15990765/1","US20190319351")</f>
        <v>0.0</v>
      </c>
      <c r="M104" t="s">
        <v>751</v>
      </c>
      <c r="N104" t="s">
        <v>752</v>
      </c>
      <c r="O104" t="s">
        <v>753</v>
      </c>
      <c r="P104" t="s">
        <v>754</v>
      </c>
      <c r="Q104" s="3" t="n">
        <v>43248.0</v>
      </c>
      <c r="R104" s="3" t="n">
        <v>43755.0</v>
      </c>
      <c r="S104" s="3" t="n">
        <v>43865.98387487268</v>
      </c>
      <c r="T104" s="3" t="n">
        <v>43866.508362534725</v>
      </c>
      <c r="U104" t="s">
        <v>755</v>
      </c>
      <c r="V104" t="s">
        <v>756</v>
      </c>
    </row>
    <row r="105">
      <c r="A105" t="s">
        <v>22</v>
      </c>
      <c r="B105" t="s">
        <v>757</v>
      </c>
      <c r="C105" t="s">
        <v>24</v>
      </c>
      <c r="D105" t="s">
        <v>25</v>
      </c>
      <c r="E105" t="s">
        <v>325</v>
      </c>
      <c r="F105" s="2" t="n">
        <f>HYPERLINK("https://patents.google.com/patent/US20190305406","Google")</f>
        <v>0.0</v>
      </c>
      <c r="G105" s="2" t="n">
        <f>HYPERLINK("https://patentcenter.uspto.gov/applications/16447228","Patent Center")</f>
        <v>0.0</v>
      </c>
      <c r="H105" s="2" t="n">
        <f>HYPERLINK("https://worldwide.espacenet.com/patent/search?q=US20190305406","Espacenet")</f>
        <v>0.0</v>
      </c>
      <c r="I105" s="2" t="n">
        <f>HYPERLINK("https://ppubs.uspto.gov/pubwebapp/external.html?q=20190305406.pn.","USPTO")</f>
        <v>0.0</v>
      </c>
      <c r="J105" s="2" t="n">
        <f>HYPERLINK("https://image-ppubs.uspto.gov/dirsearch-public/print/downloadPdf/20190305406","USPTO PDF")</f>
        <v>0.0</v>
      </c>
      <c r="K105" s="2" t="n">
        <f>HYPERLINK("https://sectors.patentforecast.com/pmd/US20190305406","PMD")</f>
        <v>0.0</v>
      </c>
      <c r="L105" s="2" t="n">
        <f>HYPERLINK("https://globaldossier.uspto.gov/result/application/US/16447228/1","US20190305406")</f>
        <v>0.0</v>
      </c>
      <c r="M105" t="s">
        <v>758</v>
      </c>
      <c r="N105" t="s">
        <v>314</v>
      </c>
      <c r="O105" t="s">
        <v>315</v>
      </c>
      <c r="P105" t="s">
        <v>316</v>
      </c>
      <c r="Q105" s="3" t="n">
        <v>43636.0</v>
      </c>
      <c r="R105" s="3" t="n">
        <v>43741.0</v>
      </c>
      <c r="S105" s="3" t="n">
        <v>43787.400969849536</v>
      </c>
      <c r="T105" s="3" t="n">
        <v>43788.67666302084</v>
      </c>
      <c r="U105" t="s">
        <v>759</v>
      </c>
      <c r="V105" t="s">
        <v>328</v>
      </c>
    </row>
    <row r="106">
      <c r="A106" t="s">
        <v>22</v>
      </c>
      <c r="B106" t="s">
        <v>760</v>
      </c>
      <c r="C106" t="s">
        <v>168</v>
      </c>
      <c r="D106" t="s">
        <v>168</v>
      </c>
      <c r="E106" t="s">
        <v>177</v>
      </c>
      <c r="F106" s="2" t="n">
        <f>HYPERLINK("https://patents.google.com/patent/US20190297671","Google")</f>
        <v>0.0</v>
      </c>
      <c r="G106" s="2" t="n">
        <f>HYPERLINK("https://patentcenter.uspto.gov/applications/16360874","Patent Center")</f>
        <v>0.0</v>
      </c>
      <c r="H106" s="2" t="n">
        <f>HYPERLINK("https://worldwide.espacenet.com/patent/search?q=US20190297671","Espacenet")</f>
        <v>0.0</v>
      </c>
      <c r="I106" s="2" t="n">
        <f>HYPERLINK("https://ppubs.uspto.gov/pubwebapp/external.html?q=20190297671.pn.","USPTO")</f>
        <v>0.0</v>
      </c>
      <c r="J106" s="2" t="n">
        <f>HYPERLINK("https://image-ppubs.uspto.gov/dirsearch-public/print/downloadPdf/20190297671","USPTO PDF")</f>
        <v>0.0</v>
      </c>
      <c r="K106" s="2" t="n">
        <f>HYPERLINK("https://sectors.patentforecast.com/pmd/US20190297671","PMD")</f>
        <v>0.0</v>
      </c>
      <c r="L106" s="2" t="n">
        <f>HYPERLINK("https://globaldossier.uspto.gov/result/application/US/16360874/1","US20190297671")</f>
        <v>0.0</v>
      </c>
      <c r="M106" t="s">
        <v>761</v>
      </c>
      <c r="N106" t="s">
        <v>179</v>
      </c>
      <c r="O106" t="s">
        <v>180</v>
      </c>
      <c r="P106" t="s">
        <v>181</v>
      </c>
      <c r="Q106" s="3" t="n">
        <v>43545.0</v>
      </c>
      <c r="R106" s="3" t="n">
        <v>43734.0</v>
      </c>
      <c r="S106" s="3" t="n">
        <v>43791.42848221065</v>
      </c>
      <c r="T106" s="3" t="n">
        <v>43791.47088976852</v>
      </c>
      <c r="U106" t="s">
        <v>762</v>
      </c>
      <c r="V106" t="s">
        <v>183</v>
      </c>
    </row>
    <row r="107">
      <c r="A107" t="s">
        <v>22</v>
      </c>
      <c r="B107" t="s">
        <v>763</v>
      </c>
      <c r="C107" t="s">
        <v>24</v>
      </c>
      <c r="D107" t="s">
        <v>25</v>
      </c>
      <c r="E107" t="s">
        <v>764</v>
      </c>
      <c r="F107" s="2" t="n">
        <f>HYPERLINK("https://patents.google.com/patent/US20190297507","Google")</f>
        <v>0.0</v>
      </c>
      <c r="G107" s="2" t="n">
        <f>HYPERLINK("https://patentcenter.uspto.gov/applications/16441768","Patent Center")</f>
        <v>0.0</v>
      </c>
      <c r="H107" s="2" t="n">
        <f>HYPERLINK("https://worldwide.espacenet.com/patent/search?q=US20190297507","Espacenet")</f>
        <v>0.0</v>
      </c>
      <c r="I107" s="2" t="n">
        <f>HYPERLINK("https://ppubs.uspto.gov/pubwebapp/external.html?q=20190297507.pn.","USPTO")</f>
        <v>0.0</v>
      </c>
      <c r="J107" s="2" t="n">
        <f>HYPERLINK("https://image-ppubs.uspto.gov/dirsearch-public/print/downloadPdf/20190297507","USPTO PDF")</f>
        <v>0.0</v>
      </c>
      <c r="K107" s="2" t="n">
        <f>HYPERLINK("https://sectors.patentforecast.com/pmd/US20190297507","PMD")</f>
        <v>0.0</v>
      </c>
      <c r="L107" s="2" t="n">
        <f>HYPERLINK("https://globaldossier.uspto.gov/result/application/US/16441768/1","US20190297507")</f>
        <v>0.0</v>
      </c>
      <c r="M107" t="s">
        <v>765</v>
      </c>
      <c r="N107" t="s">
        <v>390</v>
      </c>
      <c r="O107" t="s">
        <v>391</v>
      </c>
      <c r="P107" t="s">
        <v>766</v>
      </c>
      <c r="Q107" s="3" t="n">
        <v>43630.0</v>
      </c>
      <c r="R107" s="3" t="n">
        <v>43734.0</v>
      </c>
      <c r="S107" s="3" t="n">
        <v>43788.68856232639</v>
      </c>
      <c r="T107" s="3" t="n">
        <v>43789.45658976852</v>
      </c>
      <c r="U107" t="s">
        <v>767</v>
      </c>
      <c r="V107" t="s">
        <v>768</v>
      </c>
    </row>
    <row r="108">
      <c r="A108" t="s">
        <v>22</v>
      </c>
      <c r="B108" t="s">
        <v>769</v>
      </c>
      <c r="C108" t="s">
        <v>168</v>
      </c>
      <c r="D108" t="s">
        <v>168</v>
      </c>
      <c r="E108" t="s">
        <v>770</v>
      </c>
      <c r="F108" s="2" t="n">
        <f>HYPERLINK("https://patents.google.com/patent/US20190287377","Google")</f>
        <v>0.0</v>
      </c>
      <c r="G108" s="2" t="n">
        <f>HYPERLINK("https://patentcenter.uspto.gov/applications/16358510","Patent Center")</f>
        <v>0.0</v>
      </c>
      <c r="H108" s="2" t="n">
        <f>HYPERLINK("https://worldwide.espacenet.com/patent/search?q=US20190287377","Espacenet")</f>
        <v>0.0</v>
      </c>
      <c r="I108" s="2" t="n">
        <f>HYPERLINK("https://ppubs.uspto.gov/pubwebapp/external.html?q=20190287377.pn.","USPTO")</f>
        <v>0.0</v>
      </c>
      <c r="J108" s="2" t="n">
        <f>HYPERLINK("https://image-ppubs.uspto.gov/dirsearch-public/print/downloadPdf/20190287377","USPTO PDF")</f>
        <v>0.0</v>
      </c>
      <c r="K108" s="2" t="n">
        <f>HYPERLINK("https://sectors.patentforecast.com/pmd/US20190287377","PMD")</f>
        <v>0.0</v>
      </c>
      <c r="L108" s="2" t="n">
        <f>HYPERLINK("https://globaldossier.uspto.gov/result/application/US/16358510/1","US20190287377")</f>
        <v>0.0</v>
      </c>
      <c r="M108" t="s">
        <v>771</v>
      </c>
      <c r="N108" t="s">
        <v>772</v>
      </c>
      <c r="O108" t="s">
        <v>773</v>
      </c>
      <c r="P108" t="s">
        <v>774</v>
      </c>
      <c r="Q108" s="3" t="n">
        <v>43543.0</v>
      </c>
      <c r="R108" s="3" t="n">
        <v>43727.0</v>
      </c>
      <c r="S108" s="3" t="n">
        <v>43788.41194168982</v>
      </c>
      <c r="T108" s="3" t="n">
        <v>43789.43989832176</v>
      </c>
      <c r="U108" t="s">
        <v>775</v>
      </c>
      <c r="V108" t="s">
        <v>776</v>
      </c>
    </row>
    <row r="109">
      <c r="A109" t="s">
        <v>22</v>
      </c>
      <c r="B109" t="s">
        <v>777</v>
      </c>
      <c r="C109" t="s">
        <v>61</v>
      </c>
      <c r="D109" t="s">
        <v>61</v>
      </c>
      <c r="E109" t="s">
        <v>778</v>
      </c>
      <c r="F109" s="2" t="n">
        <f>HYPERLINK("https://patents.google.com/patent/US20190281483","Google")</f>
        <v>0.0</v>
      </c>
      <c r="G109" s="2" t="n">
        <f>HYPERLINK("https://patentcenter.uspto.gov/applications/15918554","Patent Center")</f>
        <v>0.0</v>
      </c>
      <c r="H109" s="2" t="n">
        <f>HYPERLINK("https://worldwide.espacenet.com/patent/search?q=US20190281483","Espacenet")</f>
        <v>0.0</v>
      </c>
      <c r="I109" s="2" t="n">
        <f>HYPERLINK("https://ppubs.uspto.gov/pubwebapp/external.html?q=20190281483.pn.","USPTO")</f>
        <v>0.0</v>
      </c>
      <c r="J109" s="2" t="n">
        <f>HYPERLINK("https://image-ppubs.uspto.gov/dirsearch-public/print/downloadPdf/20190281483","USPTO PDF")</f>
        <v>0.0</v>
      </c>
      <c r="K109" s="2" t="n">
        <f>HYPERLINK("https://sectors.patentforecast.com/pmd/US20190281483","PMD")</f>
        <v>0.0</v>
      </c>
      <c r="L109" s="2" t="n">
        <f>HYPERLINK("https://globaldossier.uspto.gov/result/application/US/15918554/1","US20190281483")</f>
        <v>0.0</v>
      </c>
      <c r="M109" t="s">
        <v>779</v>
      </c>
      <c r="N109" t="s">
        <v>780</v>
      </c>
      <c r="O109" t="s">
        <v>781</v>
      </c>
      <c r="P109" t="s">
        <v>782</v>
      </c>
      <c r="Q109" s="3" t="n">
        <v>43171.0</v>
      </c>
      <c r="R109" s="3" t="n">
        <v>43720.0</v>
      </c>
      <c r="S109" s="3" t="n">
        <v>43791.31066261574</v>
      </c>
      <c r="T109" s="3" t="n">
        <v>43791.569229444445</v>
      </c>
      <c r="U109" t="s">
        <v>783</v>
      </c>
      <c r="V109" t="s">
        <v>784</v>
      </c>
    </row>
    <row r="110">
      <c r="A110" t="s">
        <v>22</v>
      </c>
      <c r="B110" t="s">
        <v>785</v>
      </c>
      <c r="C110" t="s">
        <v>168</v>
      </c>
      <c r="D110" t="s">
        <v>168</v>
      </c>
      <c r="E110" t="s">
        <v>786</v>
      </c>
      <c r="F110" s="2" t="n">
        <f>HYPERLINK("https://patents.google.com/patent/US20190261749","Google")</f>
        <v>0.0</v>
      </c>
      <c r="G110" s="2" t="n">
        <f>HYPERLINK("https://patentcenter.uspto.gov/applications/16412385","Patent Center")</f>
        <v>0.0</v>
      </c>
      <c r="H110" s="2" t="n">
        <f>HYPERLINK("https://worldwide.espacenet.com/patent/search?q=US20190261749","Espacenet")</f>
        <v>0.0</v>
      </c>
      <c r="I110" s="2" t="n">
        <f>HYPERLINK("https://ppubs.uspto.gov/pubwebapp/external.html?q=20190261749.pn.","USPTO")</f>
        <v>0.0</v>
      </c>
      <c r="J110" s="2" t="n">
        <f>HYPERLINK("https://image-ppubs.uspto.gov/dirsearch-public/print/downloadPdf/20190261749","USPTO PDF")</f>
        <v>0.0</v>
      </c>
      <c r="K110" s="2" t="n">
        <f>HYPERLINK("https://sectors.patentforecast.com/pmd/US20190261749","PMD")</f>
        <v>0.0</v>
      </c>
      <c r="L110" s="2" t="n">
        <f>HYPERLINK("https://globaldossier.uspto.gov/result/application/US/16412385/1","US20190261749")</f>
        <v>0.0</v>
      </c>
      <c r="M110" t="s">
        <v>787</v>
      </c>
      <c r="N110" t="s">
        <v>788</v>
      </c>
      <c r="O110" t="s">
        <v>788</v>
      </c>
      <c r="P110" t="s">
        <v>789</v>
      </c>
      <c r="Q110" s="3" t="n">
        <v>43599.0</v>
      </c>
      <c r="R110" s="3" t="n">
        <v>43706.0</v>
      </c>
      <c r="S110" s="3" t="n">
        <v>43791.41193876157</v>
      </c>
      <c r="T110" s="3" t="n">
        <v>43791.43708969907</v>
      </c>
      <c r="U110" t="s">
        <v>790</v>
      </c>
      <c r="V110" t="s">
        <v>791</v>
      </c>
    </row>
    <row r="111">
      <c r="A111" t="s">
        <v>22</v>
      </c>
      <c r="B111" t="s">
        <v>792</v>
      </c>
      <c r="C111" t="s">
        <v>168</v>
      </c>
      <c r="D111" t="s">
        <v>168</v>
      </c>
      <c r="E111" t="s">
        <v>793</v>
      </c>
      <c r="F111" s="2" t="n">
        <f>HYPERLINK("https://patents.google.com/patent/US20190253314","Google")</f>
        <v>0.0</v>
      </c>
      <c r="G111" s="2" t="n">
        <f>HYPERLINK("https://patentcenter.uspto.gov/applications/16274234","Patent Center")</f>
        <v>0.0</v>
      </c>
      <c r="H111" s="2" t="n">
        <f>HYPERLINK("https://worldwide.espacenet.com/patent/search?q=US20190253314","Espacenet")</f>
        <v>0.0</v>
      </c>
      <c r="I111" s="2" t="n">
        <f>HYPERLINK("https://ppubs.uspto.gov/pubwebapp/external.html?q=20190253314.pn.","USPTO")</f>
        <v>0.0</v>
      </c>
      <c r="J111" s="2" t="n">
        <f>HYPERLINK("https://image-ppubs.uspto.gov/dirsearch-public/print/downloadPdf/20190253314","USPTO PDF")</f>
        <v>0.0</v>
      </c>
      <c r="K111" s="2" t="n">
        <f>HYPERLINK("https://sectors.patentforecast.com/pmd/US20190253314","PMD")</f>
        <v>0.0</v>
      </c>
      <c r="L111" s="2" t="n">
        <f>HYPERLINK("https://globaldossier.uspto.gov/result/application/US/16274234/1","US20190253314")</f>
        <v>0.0</v>
      </c>
      <c r="M111" t="s">
        <v>794</v>
      </c>
      <c r="N111" t="s">
        <v>795</v>
      </c>
      <c r="O111" t="s">
        <v>796</v>
      </c>
      <c r="P111" t="s">
        <v>797</v>
      </c>
      <c r="Q111" s="3" t="n">
        <v>43508.0</v>
      </c>
      <c r="R111" s="3" t="n">
        <v>43692.0</v>
      </c>
      <c r="S111" s="3" t="n">
        <v>43791.432536851855</v>
      </c>
      <c r="T111" s="3" t="n">
        <v>43791.62339878472</v>
      </c>
      <c r="U111" t="s">
        <v>798</v>
      </c>
      <c r="V111" t="s">
        <v>799</v>
      </c>
    </row>
    <row r="112">
      <c r="A112" t="s">
        <v>22</v>
      </c>
      <c r="B112" t="s">
        <v>800</v>
      </c>
      <c r="C112" t="s">
        <v>168</v>
      </c>
      <c r="D112" t="s">
        <v>168</v>
      </c>
      <c r="E112" t="s">
        <v>801</v>
      </c>
      <c r="F112" s="2" t="n">
        <f>HYPERLINK("https://patents.google.com/patent/US20190231047","Google")</f>
        <v>0.0</v>
      </c>
      <c r="G112" s="2" t="n">
        <f>HYPERLINK("https://patentcenter.uspto.gov/applications/16381067","Patent Center")</f>
        <v>0.0</v>
      </c>
      <c r="H112" s="2" t="n">
        <f>HYPERLINK("https://worldwide.espacenet.com/patent/search?q=US20190231047","Espacenet")</f>
        <v>0.0</v>
      </c>
      <c r="I112" s="2" t="n">
        <f>HYPERLINK("https://ppubs.uspto.gov/pubwebapp/external.html?q=20190231047.pn.","USPTO")</f>
        <v>0.0</v>
      </c>
      <c r="J112" s="2" t="n">
        <f>HYPERLINK("https://image-ppubs.uspto.gov/dirsearch-public/print/downloadPdf/20190231047","USPTO PDF")</f>
        <v>0.0</v>
      </c>
      <c r="K112" s="2" t="n">
        <f>HYPERLINK("https://sectors.patentforecast.com/pmd/US20190231047","PMD")</f>
        <v>0.0</v>
      </c>
      <c r="L112" s="2" t="n">
        <f>HYPERLINK("https://globaldossier.uspto.gov/result/application/US/16381067/1","US20190231047")</f>
        <v>0.0</v>
      </c>
      <c r="M112" t="s">
        <v>802</v>
      </c>
      <c r="N112" t="s">
        <v>803</v>
      </c>
      <c r="O112" t="s">
        <v>804</v>
      </c>
      <c r="P112" t="s">
        <v>805</v>
      </c>
      <c r="Q112" s="3" t="n">
        <v>43566.0</v>
      </c>
      <c r="R112" s="3" t="n">
        <v>43678.0</v>
      </c>
      <c r="S112" s="3" t="n">
        <v>43787.46957394676</v>
      </c>
      <c r="T112" s="3" t="n">
        <v>43789.65383633102</v>
      </c>
      <c r="U112" t="s">
        <v>806</v>
      </c>
      <c r="V112" t="s">
        <v>807</v>
      </c>
    </row>
    <row r="113">
      <c r="A113" t="s">
        <v>22</v>
      </c>
      <c r="B113" t="s">
        <v>808</v>
      </c>
      <c r="C113" t="s">
        <v>168</v>
      </c>
      <c r="D113" t="s">
        <v>168</v>
      </c>
      <c r="E113" t="s">
        <v>809</v>
      </c>
      <c r="F113" s="2" t="n">
        <f>HYPERLINK("https://patents.google.com/patent/US20190207416","Google")</f>
        <v>0.0</v>
      </c>
      <c r="G113" s="2" t="n">
        <f>HYPERLINK("https://patentcenter.uspto.gov/applications/16229451","Patent Center")</f>
        <v>0.0</v>
      </c>
      <c r="H113" s="2" t="n">
        <f>HYPERLINK("https://worldwide.espacenet.com/patent/search?q=US20190207416","Espacenet")</f>
        <v>0.0</v>
      </c>
      <c r="I113" s="2" t="n">
        <f>HYPERLINK("https://ppubs.uspto.gov/pubwebapp/external.html?q=20190207416.pn.","USPTO")</f>
        <v>0.0</v>
      </c>
      <c r="J113" s="2" t="n">
        <f>HYPERLINK("https://image-ppubs.uspto.gov/dirsearch-public/print/downloadPdf/20190207416","USPTO PDF")</f>
        <v>0.0</v>
      </c>
      <c r="K113" s="2" t="n">
        <f>HYPERLINK("https://sectors.patentforecast.com/pmd/US20190207416","PMD")</f>
        <v>0.0</v>
      </c>
      <c r="L113" s="2" t="n">
        <f>HYPERLINK("https://globaldossier.uspto.gov/result/application/US/16229451/1","US20190207416")</f>
        <v>0.0</v>
      </c>
      <c r="M113" t="s">
        <v>810</v>
      </c>
      <c r="N113" t="s">
        <v>811</v>
      </c>
      <c r="O113" t="s">
        <v>812</v>
      </c>
      <c r="P113" t="s">
        <v>813</v>
      </c>
      <c r="Q113" s="3" t="n">
        <v>43455.0</v>
      </c>
      <c r="R113" s="3" t="n">
        <v>43650.0</v>
      </c>
      <c r="S113" s="3" t="n">
        <v>43791.41136003472</v>
      </c>
      <c r="T113" s="3" t="n">
        <v>43791.42192608796</v>
      </c>
      <c r="U113" t="s">
        <v>814</v>
      </c>
      <c r="V113" t="s">
        <v>815</v>
      </c>
    </row>
    <row r="114">
      <c r="A114" t="s">
        <v>22</v>
      </c>
      <c r="B114" t="s">
        <v>816</v>
      </c>
      <c r="C114" t="s">
        <v>24</v>
      </c>
      <c r="D114" t="s">
        <v>25</v>
      </c>
      <c r="E114" t="s">
        <v>817</v>
      </c>
      <c r="F114" s="2" t="n">
        <f>HYPERLINK("https://patents.google.com/patent/US20190173525","Google")</f>
        <v>0.0</v>
      </c>
      <c r="G114" s="2" t="n">
        <f>HYPERLINK("https://patentcenter.uspto.gov/applications/16269894","Patent Center")</f>
        <v>0.0</v>
      </c>
      <c r="H114" s="2" t="n">
        <f>HYPERLINK("https://worldwide.espacenet.com/patent/search?q=US20190173525","Espacenet")</f>
        <v>0.0</v>
      </c>
      <c r="I114" s="2" t="n">
        <f>HYPERLINK("https://ppubs.uspto.gov/pubwebapp/external.html?q=20190173525.pn.","USPTO")</f>
        <v>0.0</v>
      </c>
      <c r="J114" s="2" t="n">
        <f>HYPERLINK("https://image-ppubs.uspto.gov/dirsearch-public/print/downloadPdf/20190173525","USPTO PDF")</f>
        <v>0.0</v>
      </c>
      <c r="K114" s="2" t="n">
        <f>HYPERLINK("https://sectors.patentforecast.com/pmd/US20190173525","PMD")</f>
        <v>0.0</v>
      </c>
      <c r="L114" s="2" t="n">
        <f>HYPERLINK("https://globaldossier.uspto.gov/result/application/US/16269894/1","US20190173525")</f>
        <v>0.0</v>
      </c>
      <c r="M114" t="s">
        <v>818</v>
      </c>
      <c r="N114" t="s">
        <v>390</v>
      </c>
      <c r="O114" t="s">
        <v>391</v>
      </c>
      <c r="P114" t="s">
        <v>766</v>
      </c>
      <c r="Q114" s="3" t="n">
        <v>43503.0</v>
      </c>
      <c r="R114" s="3" t="n">
        <v>43622.0</v>
      </c>
      <c r="S114" s="3" t="n">
        <v>43788.68856232639</v>
      </c>
      <c r="T114" s="3" t="n">
        <v>43789.45120717592</v>
      </c>
      <c r="U114" t="s">
        <v>819</v>
      </c>
      <c r="V114" t="s">
        <v>820</v>
      </c>
    </row>
    <row r="115">
      <c r="A115" t="s">
        <v>22</v>
      </c>
      <c r="B115" t="s">
        <v>821</v>
      </c>
      <c r="C115" t="s">
        <v>24</v>
      </c>
      <c r="D115" t="s">
        <v>25</v>
      </c>
      <c r="E115" t="s">
        <v>822</v>
      </c>
      <c r="F115" s="2" t="n">
        <f>HYPERLINK("https://patents.google.com/patent/US20190158146","Google")</f>
        <v>0.0</v>
      </c>
      <c r="G115" s="2" t="n">
        <f>HYPERLINK("https://patentcenter.uspto.gov/applications/16254135","Patent Center")</f>
        <v>0.0</v>
      </c>
      <c r="H115" s="2" t="n">
        <f>HYPERLINK("https://worldwide.espacenet.com/patent/search?q=US20190158146","Espacenet")</f>
        <v>0.0</v>
      </c>
      <c r="I115" s="2" t="n">
        <f>HYPERLINK("https://ppubs.uspto.gov/pubwebapp/external.html?q=20190158146.pn.","USPTO")</f>
        <v>0.0</v>
      </c>
      <c r="J115" s="2" t="n">
        <f>HYPERLINK("https://image-ppubs.uspto.gov/dirsearch-public/print/downloadPdf/20190158146","USPTO PDF")</f>
        <v>0.0</v>
      </c>
      <c r="K115" s="2" t="n">
        <f>HYPERLINK("https://sectors.patentforecast.com/pmd/US20190158146","PMD")</f>
        <v>0.0</v>
      </c>
      <c r="L115" s="2" t="n">
        <f>HYPERLINK("https://globaldossier.uspto.gov/result/application/US/16254135/1","US20190158146")</f>
        <v>0.0</v>
      </c>
      <c r="M115" t="s">
        <v>823</v>
      </c>
      <c r="N115" t="s">
        <v>390</v>
      </c>
      <c r="O115" t="s">
        <v>391</v>
      </c>
      <c r="P115" t="s">
        <v>766</v>
      </c>
      <c r="Q115" s="3" t="n">
        <v>43487.0</v>
      </c>
      <c r="R115" s="3" t="n">
        <v>43608.0</v>
      </c>
      <c r="S115" s="3" t="n">
        <v>43788.68856232639</v>
      </c>
      <c r="T115" s="3" t="n">
        <v>43789.452505671296</v>
      </c>
      <c r="U115" t="s">
        <v>824</v>
      </c>
      <c r="V115" t="s">
        <v>825</v>
      </c>
    </row>
    <row r="116">
      <c r="A116" t="s">
        <v>22</v>
      </c>
      <c r="B116" t="s">
        <v>826</v>
      </c>
      <c r="C116" t="s">
        <v>24</v>
      </c>
      <c r="D116" t="s">
        <v>25</v>
      </c>
      <c r="E116" t="s">
        <v>827</v>
      </c>
      <c r="F116" s="2" t="n">
        <f>HYPERLINK("https://patents.google.com/patent/US20190157885","Google")</f>
        <v>0.0</v>
      </c>
      <c r="G116" s="2" t="n">
        <f>HYPERLINK("https://patentcenter.uspto.gov/applications/16254430","Patent Center")</f>
        <v>0.0</v>
      </c>
      <c r="H116" s="2" t="n">
        <f>HYPERLINK("https://worldwide.espacenet.com/patent/search?q=US20190157885","Espacenet")</f>
        <v>0.0</v>
      </c>
      <c r="I116" s="2" t="n">
        <f>HYPERLINK("https://ppubs.uspto.gov/pubwebapp/external.html?q=20190157885.pn.","USPTO")</f>
        <v>0.0</v>
      </c>
      <c r="J116" s="2" t="n">
        <f>HYPERLINK("https://image-ppubs.uspto.gov/dirsearch-public/print/downloadPdf/20190157885","USPTO PDF")</f>
        <v>0.0</v>
      </c>
      <c r="K116" s="2" t="n">
        <f>HYPERLINK("https://sectors.patentforecast.com/pmd/US20190157885","PMD")</f>
        <v>0.0</v>
      </c>
      <c r="L116" s="2" t="n">
        <f>HYPERLINK("https://globaldossier.uspto.gov/result/application/US/16254430/1","US20190157885")</f>
        <v>0.0</v>
      </c>
      <c r="M116" t="s">
        <v>828</v>
      </c>
      <c r="N116" t="s">
        <v>829</v>
      </c>
      <c r="O116" t="s">
        <v>830</v>
      </c>
      <c r="P116" t="s">
        <v>831</v>
      </c>
      <c r="Q116" s="3" t="n">
        <v>43487.0</v>
      </c>
      <c r="R116" s="3" t="n">
        <v>43608.0</v>
      </c>
      <c r="S116" s="3" t="n">
        <v>43789.4738631713</v>
      </c>
      <c r="T116" s="3" t="n">
        <v>43789.503206898145</v>
      </c>
      <c r="U116" t="s">
        <v>832</v>
      </c>
      <c r="V116" t="s">
        <v>833</v>
      </c>
    </row>
    <row r="117">
      <c r="A117" t="s">
        <v>22</v>
      </c>
      <c r="B117" t="s">
        <v>834</v>
      </c>
      <c r="C117" t="s">
        <v>24</v>
      </c>
      <c r="D117" t="s">
        <v>25</v>
      </c>
      <c r="E117" t="s">
        <v>835</v>
      </c>
      <c r="F117" s="2" t="n">
        <f>HYPERLINK("https://patents.google.com/patent/US20190150072","Google")</f>
        <v>0.0</v>
      </c>
      <c r="G117" s="2" t="n">
        <f>HYPERLINK("https://patentcenter.uspto.gov/applications/15813704","Patent Center")</f>
        <v>0.0</v>
      </c>
      <c r="H117" s="2" t="n">
        <f>HYPERLINK("https://worldwide.espacenet.com/patent/search?q=US20190150072","Espacenet")</f>
        <v>0.0</v>
      </c>
      <c r="I117" s="2" t="n">
        <f>HYPERLINK("https://ppubs.uspto.gov/pubwebapp/external.html?q=20190150072.pn.","USPTO")</f>
        <v>0.0</v>
      </c>
      <c r="J117" s="2" t="n">
        <f>HYPERLINK("https://image-ppubs.uspto.gov/dirsearch-public/print/downloadPdf/20190150072","USPTO PDF")</f>
        <v>0.0</v>
      </c>
      <c r="K117" s="2" t="n">
        <f>HYPERLINK("https://sectors.patentforecast.com/pmd/US20190150072","PMD")</f>
        <v>0.0</v>
      </c>
      <c r="L117" s="2" t="n">
        <f>HYPERLINK("https://globaldossier.uspto.gov/result/application/US/15813704/1","US20190150072")</f>
        <v>0.0</v>
      </c>
      <c r="M117" t="s">
        <v>836</v>
      </c>
      <c r="N117" t="s">
        <v>390</v>
      </c>
      <c r="O117" t="s">
        <v>391</v>
      </c>
      <c r="P117" t="s">
        <v>766</v>
      </c>
      <c r="Q117" s="3" t="n">
        <v>43054.0</v>
      </c>
      <c r="R117" s="3" t="n">
        <v>43601.0</v>
      </c>
      <c r="S117" s="3" t="n">
        <v>43788.68856232639</v>
      </c>
      <c r="T117" s="3" t="n">
        <v>43789.45098325232</v>
      </c>
      <c r="U117" t="s">
        <v>837</v>
      </c>
      <c r="V117" t="s">
        <v>838</v>
      </c>
    </row>
    <row r="118">
      <c r="A118" t="s">
        <v>22</v>
      </c>
      <c r="B118" t="s">
        <v>839</v>
      </c>
      <c r="C118" t="s">
        <v>24</v>
      </c>
      <c r="D118" t="s">
        <v>25</v>
      </c>
      <c r="E118" t="s">
        <v>817</v>
      </c>
      <c r="F118" s="2" t="n">
        <f>HYPERLINK("https://patents.google.com/patent/US20190149194","Google")</f>
        <v>0.0</v>
      </c>
      <c r="G118" s="2" t="n">
        <f>HYPERLINK("https://patentcenter.uspto.gov/applications/15813583","Patent Center")</f>
        <v>0.0</v>
      </c>
      <c r="H118" s="2" t="n">
        <f>HYPERLINK("https://worldwide.espacenet.com/patent/search?q=US20190149194","Espacenet")</f>
        <v>0.0</v>
      </c>
      <c r="I118" s="2" t="n">
        <f>HYPERLINK("https://ppubs.uspto.gov/pubwebapp/external.html?q=20190149194.pn.","USPTO")</f>
        <v>0.0</v>
      </c>
      <c r="J118" s="2" t="n">
        <f>HYPERLINK("https://image-ppubs.uspto.gov/dirsearch-public/print/downloadPdf/20190149194","USPTO PDF")</f>
        <v>0.0</v>
      </c>
      <c r="K118" s="2" t="n">
        <f>HYPERLINK("https://sectors.patentforecast.com/pmd/US20190149194","PMD")</f>
        <v>0.0</v>
      </c>
      <c r="L118" s="2" t="n">
        <f>HYPERLINK("https://globaldossier.uspto.gov/result/application/US/15813583/1","US20190149194")</f>
        <v>0.0</v>
      </c>
      <c r="M118" t="s">
        <v>840</v>
      </c>
      <c r="N118" t="s">
        <v>390</v>
      </c>
      <c r="O118" t="s">
        <v>391</v>
      </c>
      <c r="P118" t="s">
        <v>766</v>
      </c>
      <c r="Q118" s="3" t="n">
        <v>43054.0</v>
      </c>
      <c r="R118" s="3" t="n">
        <v>43601.0</v>
      </c>
      <c r="S118" s="3" t="n">
        <v>43788.68856232639</v>
      </c>
      <c r="T118" s="3" t="n">
        <v>43789.45233946759</v>
      </c>
      <c r="U118" t="s">
        <v>819</v>
      </c>
      <c r="V118" t="s">
        <v>820</v>
      </c>
    </row>
    <row r="119">
      <c r="A119" t="s">
        <v>22</v>
      </c>
      <c r="B119" t="s">
        <v>841</v>
      </c>
      <c r="C119" t="s">
        <v>24</v>
      </c>
      <c r="D119" t="s">
        <v>25</v>
      </c>
      <c r="E119" t="s">
        <v>842</v>
      </c>
      <c r="F119" s="2" t="n">
        <f>HYPERLINK("https://patents.google.com/patent/US20190140691","Google")</f>
        <v>0.0</v>
      </c>
      <c r="G119" s="2" t="n">
        <f>HYPERLINK("https://patentcenter.uspto.gov/applications/16237978","Patent Center")</f>
        <v>0.0</v>
      </c>
      <c r="H119" s="2" t="n">
        <f>HYPERLINK("https://worldwide.espacenet.com/patent/search?q=US20190140691","Espacenet")</f>
        <v>0.0</v>
      </c>
      <c r="I119" s="2" t="n">
        <f>HYPERLINK("https://ppubs.uspto.gov/pubwebapp/external.html?q=20190140691.pn.","USPTO")</f>
        <v>0.0</v>
      </c>
      <c r="J119" s="2" t="n">
        <f>HYPERLINK("https://image-ppubs.uspto.gov/dirsearch-public/print/downloadPdf/20190140691","USPTO PDF")</f>
        <v>0.0</v>
      </c>
      <c r="K119" s="2" t="n">
        <f>HYPERLINK("https://sectors.patentforecast.com/pmd/US20190140691","PMD")</f>
        <v>0.0</v>
      </c>
      <c r="L119" s="2" t="n">
        <f>HYPERLINK("https://globaldossier.uspto.gov/result/application/US/16237978/1","US20190140691")</f>
        <v>0.0</v>
      </c>
      <c r="M119" t="s">
        <v>843</v>
      </c>
      <c r="N119" t="s">
        <v>390</v>
      </c>
      <c r="O119" t="s">
        <v>391</v>
      </c>
      <c r="P119" t="s">
        <v>766</v>
      </c>
      <c r="Q119" s="3" t="n">
        <v>43467.0</v>
      </c>
      <c r="R119" s="3" t="n">
        <v>43594.0</v>
      </c>
      <c r="S119" s="3" t="n">
        <v>43788.68856232639</v>
      </c>
      <c r="T119" s="3" t="n">
        <v>43789.45797974537</v>
      </c>
      <c r="U119" t="s">
        <v>844</v>
      </c>
      <c r="V119" t="s">
        <v>845</v>
      </c>
    </row>
    <row r="120">
      <c r="A120" t="s">
        <v>22</v>
      </c>
      <c r="B120" t="s">
        <v>846</v>
      </c>
      <c r="C120" t="s">
        <v>24</v>
      </c>
      <c r="D120" t="s">
        <v>25</v>
      </c>
      <c r="E120" t="s">
        <v>281</v>
      </c>
      <c r="F120" s="2" t="n">
        <f>HYPERLINK("https://patents.google.com/patent/US20190133303","Google")</f>
        <v>0.0</v>
      </c>
      <c r="G120" s="2" t="n">
        <f>HYPERLINK("https://patentcenter.uspto.gov/applications/16241668","Patent Center")</f>
        <v>0.0</v>
      </c>
      <c r="H120" s="2" t="n">
        <f>HYPERLINK("https://worldwide.espacenet.com/patent/search?q=US20190133303","Espacenet")</f>
        <v>0.0</v>
      </c>
      <c r="I120" s="2" t="n">
        <f>HYPERLINK("https://ppubs.uspto.gov/pubwebapp/external.html?q=20190133303.pn.","USPTO")</f>
        <v>0.0</v>
      </c>
      <c r="J120" s="2" t="n">
        <f>HYPERLINK("https://image-ppubs.uspto.gov/dirsearch-public/print/downloadPdf/20190133303","USPTO PDF")</f>
        <v>0.0</v>
      </c>
      <c r="K120" s="2" t="n">
        <f>HYPERLINK("https://sectors.patentforecast.com/pmd/US20190133303","PMD")</f>
        <v>0.0</v>
      </c>
      <c r="L120" s="2" t="n">
        <f>HYPERLINK("https://globaldossier.uspto.gov/result/application/US/16241668/1","US20190133303")</f>
        <v>0.0</v>
      </c>
      <c r="M120" t="s">
        <v>847</v>
      </c>
      <c r="N120" t="s">
        <v>283</v>
      </c>
      <c r="O120" t="s">
        <v>284</v>
      </c>
      <c r="P120" t="s">
        <v>285</v>
      </c>
      <c r="Q120" s="3" t="n">
        <v>43472.0</v>
      </c>
      <c r="R120" s="3" t="n">
        <v>43594.0</v>
      </c>
      <c r="S120" s="3" t="n">
        <v>43787.479875219906</v>
      </c>
      <c r="T120" s="3" t="n">
        <v>43789.44069122685</v>
      </c>
      <c r="U120" t="s">
        <v>848</v>
      </c>
      <c r="V120" t="s">
        <v>286</v>
      </c>
    </row>
    <row r="121">
      <c r="A121" t="s">
        <v>22</v>
      </c>
      <c r="B121" t="s">
        <v>849</v>
      </c>
      <c r="C121" t="s">
        <v>168</v>
      </c>
      <c r="D121" t="s">
        <v>168</v>
      </c>
      <c r="E121" t="s">
        <v>850</v>
      </c>
      <c r="F121" s="2" t="n">
        <f>HYPERLINK("https://patents.google.com/patent/US20190129468","Google")</f>
        <v>0.0</v>
      </c>
      <c r="G121" s="2" t="n">
        <f>HYPERLINK("https://patentcenter.uspto.gov/applications/16092117","Patent Center")</f>
        <v>0.0</v>
      </c>
      <c r="H121" s="2" t="n">
        <f>HYPERLINK("https://worldwide.espacenet.com/patent/search?q=US20190129468","Espacenet")</f>
        <v>0.0</v>
      </c>
      <c r="I121" s="2" t="n">
        <f>HYPERLINK("https://ppubs.uspto.gov/pubwebapp/external.html?q=20190129468.pn.","USPTO")</f>
        <v>0.0</v>
      </c>
      <c r="J121" s="2" t="n">
        <f>HYPERLINK("https://image-ppubs.uspto.gov/dirsearch-public/print/downloadPdf/20190129468","USPTO PDF")</f>
        <v>0.0</v>
      </c>
      <c r="K121" s="2" t="n">
        <f>HYPERLINK("https://sectors.patentforecast.com/pmd/US20190129468","PMD")</f>
        <v>0.0</v>
      </c>
      <c r="L121" s="2" t="n">
        <f>HYPERLINK("https://globaldossier.uspto.gov/result/application/US/16092117/1","US20190129468")</f>
        <v>0.0</v>
      </c>
      <c r="M121" t="s">
        <v>851</v>
      </c>
      <c r="N121" t="s">
        <v>852</v>
      </c>
      <c r="O121" t="s">
        <v>853</v>
      </c>
      <c r="P121" t="s">
        <v>854</v>
      </c>
      <c r="Q121" s="3" t="n">
        <v>42573.0</v>
      </c>
      <c r="R121" s="3" t="n">
        <v>43587.0</v>
      </c>
      <c r="S121" s="3" t="n">
        <v>43787.46957394676</v>
      </c>
      <c r="T121" s="3" t="n">
        <v>43789.65416917824</v>
      </c>
      <c r="U121" t="s">
        <v>855</v>
      </c>
      <c r="V121" t="s">
        <v>856</v>
      </c>
    </row>
    <row r="122">
      <c r="A122" t="s">
        <v>22</v>
      </c>
      <c r="B122" t="s">
        <v>857</v>
      </c>
      <c r="C122" t="s">
        <v>24</v>
      </c>
      <c r="D122" t="s">
        <v>25</v>
      </c>
      <c r="E122" t="s">
        <v>858</v>
      </c>
      <c r="F122" s="2" t="n">
        <f>HYPERLINK("https://patents.google.com/patent/US20190109349","Google")</f>
        <v>0.0</v>
      </c>
      <c r="G122" s="2" t="n">
        <f>HYPERLINK("https://patentcenter.uspto.gov/applications/16220616","Patent Center")</f>
        <v>0.0</v>
      </c>
      <c r="H122" s="2" t="n">
        <f>HYPERLINK("https://worldwide.espacenet.com/patent/search?q=US20190109349","Espacenet")</f>
        <v>0.0</v>
      </c>
      <c r="I122" s="2" t="n">
        <f>HYPERLINK("https://ppubs.uspto.gov/pubwebapp/external.html?q=20190109349.pn.","USPTO")</f>
        <v>0.0</v>
      </c>
      <c r="J122" s="2" t="n">
        <f>HYPERLINK("https://image-ppubs.uspto.gov/dirsearch-public/print/downloadPdf/20190109349","USPTO PDF")</f>
        <v>0.0</v>
      </c>
      <c r="K122" s="2" t="n">
        <f>HYPERLINK("https://sectors.patentforecast.com/pmd/US20190109349","PMD")</f>
        <v>0.0</v>
      </c>
      <c r="L122" s="2" t="n">
        <f>HYPERLINK("https://globaldossier.uspto.gov/result/application/US/16220616/1","US20190109349")</f>
        <v>0.0</v>
      </c>
      <c r="M122" t="s">
        <v>859</v>
      </c>
      <c r="N122" t="s">
        <v>283</v>
      </c>
      <c r="O122" t="s">
        <v>284</v>
      </c>
      <c r="P122" t="s">
        <v>285</v>
      </c>
      <c r="Q122" s="3" t="n">
        <v>43448.0</v>
      </c>
      <c r="R122" s="3" t="n">
        <v>43566.0</v>
      </c>
      <c r="S122" s="3" t="n">
        <v>43789.47362791667</v>
      </c>
      <c r="T122" s="3" t="n">
        <v>43790.3827684375</v>
      </c>
      <c r="U122" t="s">
        <v>860</v>
      </c>
      <c r="V122" t="s">
        <v>861</v>
      </c>
    </row>
    <row r="123">
      <c r="A123" t="s">
        <v>22</v>
      </c>
      <c r="B123" t="s">
        <v>862</v>
      </c>
      <c r="C123" t="s">
        <v>24</v>
      </c>
      <c r="D123" t="s">
        <v>25</v>
      </c>
      <c r="E123" t="s">
        <v>764</v>
      </c>
      <c r="F123" s="2" t="n">
        <f>HYPERLINK("https://patents.google.com/patent/US20190104420","Google")</f>
        <v>0.0</v>
      </c>
      <c r="G123" s="2" t="n">
        <f>HYPERLINK("https://patentcenter.uspto.gov/applications/16129302","Patent Center")</f>
        <v>0.0</v>
      </c>
      <c r="H123" s="2" t="n">
        <f>HYPERLINK("https://worldwide.espacenet.com/patent/search?q=US20190104420","Espacenet")</f>
        <v>0.0</v>
      </c>
      <c r="I123" s="2" t="n">
        <f>HYPERLINK("https://ppubs.uspto.gov/pubwebapp/external.html?q=20190104420.pn.","USPTO")</f>
        <v>0.0</v>
      </c>
      <c r="J123" s="2" t="n">
        <f>HYPERLINK("https://image-ppubs.uspto.gov/dirsearch-public/print/downloadPdf/20190104420","USPTO PDF")</f>
        <v>0.0</v>
      </c>
      <c r="K123" s="2" t="n">
        <f>HYPERLINK("https://sectors.patentforecast.com/pmd/US20190104420","PMD")</f>
        <v>0.0</v>
      </c>
      <c r="L123" s="2" t="n">
        <f>HYPERLINK("https://globaldossier.uspto.gov/result/application/US/16129302/1","US20190104420")</f>
        <v>0.0</v>
      </c>
      <c r="M123" t="s">
        <v>863</v>
      </c>
      <c r="N123" t="s">
        <v>390</v>
      </c>
      <c r="O123" t="s">
        <v>391</v>
      </c>
      <c r="P123" t="s">
        <v>766</v>
      </c>
      <c r="Q123" s="3" t="n">
        <v>43355.0</v>
      </c>
      <c r="R123" s="3" t="n">
        <v>43559.0</v>
      </c>
      <c r="S123" s="3" t="n">
        <v>43788.68856232639</v>
      </c>
      <c r="T123" s="3" t="n">
        <v>43789.45667836806</v>
      </c>
      <c r="U123" t="s">
        <v>864</v>
      </c>
      <c r="V123" t="s">
        <v>865</v>
      </c>
    </row>
    <row r="124">
      <c r="A124" t="s">
        <v>22</v>
      </c>
      <c r="B124" t="s">
        <v>866</v>
      </c>
      <c r="C124" t="s">
        <v>24</v>
      </c>
      <c r="D124" t="s">
        <v>25</v>
      </c>
      <c r="E124" t="s">
        <v>867</v>
      </c>
      <c r="F124" s="2" t="n">
        <f>HYPERLINK("https://patents.google.com/patent/US20190104419","Google")</f>
        <v>0.0</v>
      </c>
      <c r="G124" s="2" t="n">
        <f>HYPERLINK("https://patentcenter.uspto.gov/applications/15724889","Patent Center")</f>
        <v>0.0</v>
      </c>
      <c r="H124" s="2" t="n">
        <f>HYPERLINK("https://worldwide.espacenet.com/patent/search?q=US20190104419","Espacenet")</f>
        <v>0.0</v>
      </c>
      <c r="I124" s="2" t="n">
        <f>HYPERLINK("https://ppubs.uspto.gov/pubwebapp/external.html?q=20190104419.pn.","USPTO")</f>
        <v>0.0</v>
      </c>
      <c r="J124" s="2" t="n">
        <f>HYPERLINK("https://image-ppubs.uspto.gov/dirsearch-public/print/downloadPdf/20190104419","USPTO PDF")</f>
        <v>0.0</v>
      </c>
      <c r="K124" s="2" t="n">
        <f>HYPERLINK("https://sectors.patentforecast.com/pmd/US20190104419","PMD")</f>
        <v>0.0</v>
      </c>
      <c r="L124" s="2" t="n">
        <f>HYPERLINK("https://globaldossier.uspto.gov/result/application/US/15724889/1","US20190104419")</f>
        <v>0.0</v>
      </c>
      <c r="M124" t="s">
        <v>868</v>
      </c>
      <c r="N124" t="s">
        <v>390</v>
      </c>
      <c r="O124" t="s">
        <v>391</v>
      </c>
      <c r="P124" t="s">
        <v>766</v>
      </c>
      <c r="Q124" s="3" t="n">
        <v>43012.0</v>
      </c>
      <c r="R124" s="3" t="n">
        <v>43559.0</v>
      </c>
      <c r="S124" s="3" t="n">
        <v>43788.68856232639</v>
      </c>
      <c r="T124" s="3" t="n">
        <v>43789.457192256945</v>
      </c>
      <c r="U124" t="s">
        <v>869</v>
      </c>
      <c r="V124" t="s">
        <v>870</v>
      </c>
    </row>
    <row r="125">
      <c r="A125" t="s">
        <v>22</v>
      </c>
      <c r="B125" t="s">
        <v>871</v>
      </c>
      <c r="C125" t="s">
        <v>24</v>
      </c>
      <c r="D125" t="s">
        <v>25</v>
      </c>
      <c r="E125" t="s">
        <v>872</v>
      </c>
      <c r="F125" s="2" t="n">
        <f>HYPERLINK("https://patents.google.com/patent/US20190104012","Google")</f>
        <v>0.0</v>
      </c>
      <c r="G125" s="2" t="n">
        <f>HYPERLINK("https://patentcenter.uspto.gov/applications/15724907","Patent Center")</f>
        <v>0.0</v>
      </c>
      <c r="H125" s="2" t="n">
        <f>HYPERLINK("https://worldwide.espacenet.com/patent/search?q=US20190104012","Espacenet")</f>
        <v>0.0</v>
      </c>
      <c r="I125" s="2" t="n">
        <f>HYPERLINK("https://ppubs.uspto.gov/pubwebapp/external.html?q=20190104012.pn.","USPTO")</f>
        <v>0.0</v>
      </c>
      <c r="J125" s="2" t="n">
        <f>HYPERLINK("https://image-ppubs.uspto.gov/dirsearch-public/print/downloadPdf/20190104012","USPTO PDF")</f>
        <v>0.0</v>
      </c>
      <c r="K125" s="2" t="n">
        <f>HYPERLINK("https://sectors.patentforecast.com/pmd/US20190104012","PMD")</f>
        <v>0.0</v>
      </c>
      <c r="L125" s="2" t="n">
        <f>HYPERLINK("https://globaldossier.uspto.gov/result/application/US/15724907/1","US20190104012")</f>
        <v>0.0</v>
      </c>
      <c r="M125" t="s">
        <v>873</v>
      </c>
      <c r="N125" t="s">
        <v>390</v>
      </c>
      <c r="O125" t="s">
        <v>391</v>
      </c>
      <c r="P125" t="s">
        <v>766</v>
      </c>
      <c r="Q125" s="3" t="n">
        <v>43012.0</v>
      </c>
      <c r="R125" s="3" t="n">
        <v>43559.0</v>
      </c>
      <c r="S125" s="3" t="n">
        <v>43788.68856232639</v>
      </c>
      <c r="T125" s="3" t="n">
        <v>43789.45776621528</v>
      </c>
      <c r="U125" t="s">
        <v>874</v>
      </c>
      <c r="V125" t="s">
        <v>875</v>
      </c>
    </row>
    <row r="126">
      <c r="A126" t="s">
        <v>22</v>
      </c>
      <c r="B126" t="s">
        <v>876</v>
      </c>
      <c r="C126" t="s">
        <v>24</v>
      </c>
      <c r="D126" t="s">
        <v>25</v>
      </c>
      <c r="E126" t="s">
        <v>877</v>
      </c>
      <c r="F126" s="2" t="n">
        <f>HYPERLINK("https://patents.google.com/patent/US20190103658","Google")</f>
        <v>0.0</v>
      </c>
      <c r="G126" s="2" t="n">
        <f>HYPERLINK("https://patentcenter.uspto.gov/applications/16190413","Patent Center")</f>
        <v>0.0</v>
      </c>
      <c r="H126" s="2" t="n">
        <f>HYPERLINK("https://worldwide.espacenet.com/patent/search?q=US20190103658","Espacenet")</f>
        <v>0.0</v>
      </c>
      <c r="I126" s="2" t="n">
        <f>HYPERLINK("https://ppubs.uspto.gov/pubwebapp/external.html?q=20190103658.pn.","USPTO")</f>
        <v>0.0</v>
      </c>
      <c r="J126" s="2" t="n">
        <f>HYPERLINK("https://image-ppubs.uspto.gov/dirsearch-public/print/downloadPdf/20190103658","USPTO PDF")</f>
        <v>0.0</v>
      </c>
      <c r="K126" s="2" t="n">
        <f>HYPERLINK("https://sectors.patentforecast.com/pmd/US20190103658","PMD")</f>
        <v>0.0</v>
      </c>
      <c r="L126" s="2" t="n">
        <f>HYPERLINK("https://globaldossier.uspto.gov/result/application/US/16190413/1","US20190103658")</f>
        <v>0.0</v>
      </c>
      <c r="M126" t="s">
        <v>878</v>
      </c>
      <c r="N126" t="s">
        <v>314</v>
      </c>
      <c r="O126" t="s">
        <v>315</v>
      </c>
      <c r="P126" t="s">
        <v>316</v>
      </c>
      <c r="Q126" s="3" t="n">
        <v>43418.0</v>
      </c>
      <c r="R126" s="3" t="n">
        <v>43559.0</v>
      </c>
      <c r="S126" s="3" t="n">
        <v>43787.400969849536</v>
      </c>
      <c r="T126" s="3" t="n">
        <v>43788.67679730324</v>
      </c>
      <c r="U126" t="s">
        <v>879</v>
      </c>
      <c r="V126" t="s">
        <v>880</v>
      </c>
    </row>
    <row r="127">
      <c r="A127" t="s">
        <v>22</v>
      </c>
      <c r="B127" t="s">
        <v>881</v>
      </c>
      <c r="C127" t="s">
        <v>168</v>
      </c>
      <c r="D127" t="s">
        <v>168</v>
      </c>
      <c r="E127" t="s">
        <v>882</v>
      </c>
      <c r="F127" s="2" t="n">
        <f>HYPERLINK("https://patents.google.com/patent/US20190097445","Google")</f>
        <v>0.0</v>
      </c>
      <c r="G127" s="2" t="n">
        <f>HYPERLINK("https://patentcenter.uspto.gov/applications/16147843","Patent Center")</f>
        <v>0.0</v>
      </c>
      <c r="H127" s="2" t="n">
        <f>HYPERLINK("https://worldwide.espacenet.com/patent/search?q=US20190097445","Espacenet")</f>
        <v>0.0</v>
      </c>
      <c r="I127" s="2" t="n">
        <f>HYPERLINK("https://ppubs.uspto.gov/pubwebapp/external.html?q=20190097445.pn.","USPTO")</f>
        <v>0.0</v>
      </c>
      <c r="J127" s="2" t="n">
        <f>HYPERLINK("https://image-ppubs.uspto.gov/dirsearch-public/print/downloadPdf/20190097445","USPTO PDF")</f>
        <v>0.0</v>
      </c>
      <c r="K127" s="2" t="n">
        <f>HYPERLINK("https://sectors.patentforecast.com/pmd/US20190097445","PMD")</f>
        <v>0.0</v>
      </c>
      <c r="L127" s="2" t="n">
        <f>HYPERLINK("https://globaldossier.uspto.gov/result/application/US/16147843/1","US20190097445")</f>
        <v>0.0</v>
      </c>
      <c r="M127" t="s">
        <v>883</v>
      </c>
      <c r="N127" t="s">
        <v>227</v>
      </c>
      <c r="O127" t="s">
        <v>228</v>
      </c>
      <c r="P127" t="s">
        <v>884</v>
      </c>
      <c r="Q127" s="3" t="n">
        <v>43373.0</v>
      </c>
      <c r="R127" s="3" t="n">
        <v>43552.0</v>
      </c>
      <c r="S127" s="3" t="n">
        <v>43789.4738631713</v>
      </c>
      <c r="T127" s="3" t="n">
        <v>43790.38840113426</v>
      </c>
      <c r="U127" t="s">
        <v>885</v>
      </c>
      <c r="V127" t="s">
        <v>886</v>
      </c>
    </row>
    <row r="128">
      <c r="A128" t="s">
        <v>22</v>
      </c>
      <c r="B128" t="s">
        <v>887</v>
      </c>
      <c r="C128" t="s">
        <v>61</v>
      </c>
      <c r="D128" t="s">
        <v>61</v>
      </c>
      <c r="E128" t="s">
        <v>888</v>
      </c>
      <c r="F128" s="2" t="n">
        <f>HYPERLINK("https://patents.google.com/patent/US20190089419","Google")</f>
        <v>0.0</v>
      </c>
      <c r="G128" s="2" t="n">
        <f>HYPERLINK("https://patentcenter.uspto.gov/applications/16082915","Patent Center")</f>
        <v>0.0</v>
      </c>
      <c r="H128" s="2" t="n">
        <f>HYPERLINK("https://worldwide.espacenet.com/patent/search?q=US20190089419","Espacenet")</f>
        <v>0.0</v>
      </c>
      <c r="I128" s="2" t="n">
        <f>HYPERLINK("https://ppubs.uspto.gov/pubwebapp/external.html?q=20190089419.pn.","USPTO")</f>
        <v>0.0</v>
      </c>
      <c r="J128" s="2" t="n">
        <f>HYPERLINK("https://image-ppubs.uspto.gov/dirsearch-public/print/downloadPdf/20190089419","USPTO PDF")</f>
        <v>0.0</v>
      </c>
      <c r="K128" s="2" t="n">
        <f>HYPERLINK("https://sectors.patentforecast.com/pmd/US20190089419","PMD")</f>
        <v>0.0</v>
      </c>
      <c r="L128" s="2" t="n">
        <f>HYPERLINK("https://globaldossier.uspto.gov/result/application/US/16082915/1","US20190089419")</f>
        <v>0.0</v>
      </c>
      <c r="M128" t="s">
        <v>889</v>
      </c>
      <c r="N128" t="s">
        <v>116</v>
      </c>
      <c r="O128" t="s">
        <v>117</v>
      </c>
      <c r="P128" t="s">
        <v>890</v>
      </c>
      <c r="Q128" s="3" t="n">
        <v>42674.0</v>
      </c>
      <c r="R128" s="3" t="n">
        <v>43545.0</v>
      </c>
      <c r="S128" s="3" t="n">
        <v>44497.59686157407</v>
      </c>
      <c r="T128" s="3" t="n">
        <v>44497.64422840278</v>
      </c>
      <c r="U128" t="s">
        <v>891</v>
      </c>
      <c r="V128" t="s">
        <v>892</v>
      </c>
    </row>
    <row r="129">
      <c r="A129" t="s">
        <v>22</v>
      </c>
      <c r="B129" t="s">
        <v>893</v>
      </c>
      <c r="C129" t="s">
        <v>168</v>
      </c>
      <c r="D129" t="s">
        <v>168</v>
      </c>
      <c r="E129" t="s">
        <v>894</v>
      </c>
      <c r="F129" s="2" t="n">
        <f>HYPERLINK("https://patents.google.com/patent/US20190081493","Google")</f>
        <v>0.0</v>
      </c>
      <c r="G129" s="2" t="n">
        <f>HYPERLINK("https://patentcenter.uspto.gov/applications/16191058","Patent Center")</f>
        <v>0.0</v>
      </c>
      <c r="H129" s="2" t="n">
        <f>HYPERLINK("https://worldwide.espacenet.com/patent/search?q=US20190081493","Espacenet")</f>
        <v>0.0</v>
      </c>
      <c r="I129" s="2" t="n">
        <f>HYPERLINK("https://ppubs.uspto.gov/pubwebapp/external.html?q=20190081493.pn.","USPTO")</f>
        <v>0.0</v>
      </c>
      <c r="J129" s="2" t="n">
        <f>HYPERLINK("https://image-ppubs.uspto.gov/dirsearch-public/print/downloadPdf/20190081493","USPTO PDF")</f>
        <v>0.0</v>
      </c>
      <c r="K129" s="2" t="n">
        <f>HYPERLINK("https://sectors.patentforecast.com/pmd/US20190081493","PMD")</f>
        <v>0.0</v>
      </c>
      <c r="L129" s="2" t="n">
        <f>HYPERLINK("https://globaldossier.uspto.gov/result/application/US/16191058/1","US20190081493")</f>
        <v>0.0</v>
      </c>
      <c r="M129" t="s">
        <v>895</v>
      </c>
      <c r="N129" t="s">
        <v>283</v>
      </c>
      <c r="O129" t="s">
        <v>284</v>
      </c>
      <c r="P129" t="s">
        <v>285</v>
      </c>
      <c r="Q129" s="3" t="n">
        <v>43418.0</v>
      </c>
      <c r="R129" s="3" t="n">
        <v>43538.0</v>
      </c>
      <c r="S129" s="3" t="n">
        <v>43789.4738631713</v>
      </c>
      <c r="T129" s="3" t="n">
        <v>43789.505789097224</v>
      </c>
      <c r="U129" t="s">
        <v>896</v>
      </c>
      <c r="V129" t="s">
        <v>897</v>
      </c>
    </row>
    <row r="130">
      <c r="A130" t="s">
        <v>22</v>
      </c>
      <c r="B130" t="s">
        <v>898</v>
      </c>
      <c r="C130" t="s">
        <v>24</v>
      </c>
      <c r="D130" t="s">
        <v>25</v>
      </c>
      <c r="E130" t="s">
        <v>899</v>
      </c>
      <c r="F130" s="2" t="n">
        <f>HYPERLINK("https://patents.google.com/patent/US20190081396","Google")</f>
        <v>0.0</v>
      </c>
      <c r="G130" s="2" t="n">
        <f>HYPERLINK("https://patentcenter.uspto.gov/applications/15701239","Patent Center")</f>
        <v>0.0</v>
      </c>
      <c r="H130" s="2" t="n">
        <f>HYPERLINK("https://worldwide.espacenet.com/patent/search?q=US20190081396","Espacenet")</f>
        <v>0.0</v>
      </c>
      <c r="I130" s="2" t="n">
        <f>HYPERLINK("https://ppubs.uspto.gov/pubwebapp/external.html?q=20190081396.pn.","USPTO")</f>
        <v>0.0</v>
      </c>
      <c r="J130" s="2" t="n">
        <f>HYPERLINK("https://image-ppubs.uspto.gov/dirsearch-public/print/downloadPdf/20190081396","USPTO PDF")</f>
        <v>0.0</v>
      </c>
      <c r="K130" s="2" t="n">
        <f>HYPERLINK("https://sectors.patentforecast.com/pmd/US20190081396","PMD")</f>
        <v>0.0</v>
      </c>
      <c r="L130" s="2" t="n">
        <f>HYPERLINK("https://globaldossier.uspto.gov/result/application/US/15701239/1","US20190081396")</f>
        <v>0.0</v>
      </c>
      <c r="M130" t="s">
        <v>900</v>
      </c>
      <c r="N130" t="s">
        <v>901</v>
      </c>
      <c r="O130" t="s">
        <v>902</v>
      </c>
      <c r="P130" t="s">
        <v>903</v>
      </c>
      <c r="Q130" s="3" t="n">
        <v>42989.0</v>
      </c>
      <c r="R130" s="3" t="n">
        <v>43538.0</v>
      </c>
      <c r="S130" s="3" t="n">
        <v>43787.40097122685</v>
      </c>
      <c r="T130" s="3" t="n">
        <v>43789.432947326386</v>
      </c>
      <c r="U130" t="s">
        <v>904</v>
      </c>
      <c r="V130" t="s">
        <v>905</v>
      </c>
    </row>
    <row r="131">
      <c r="A131" t="s">
        <v>22</v>
      </c>
      <c r="B131" t="s">
        <v>906</v>
      </c>
      <c r="C131" t="s">
        <v>24</v>
      </c>
      <c r="D131" t="s">
        <v>25</v>
      </c>
      <c r="E131" t="s">
        <v>907</v>
      </c>
      <c r="F131" s="2" t="n">
        <f>HYPERLINK("https://patents.google.com/patent/US20190081394","Google")</f>
        <v>0.0</v>
      </c>
      <c r="G131" s="2" t="n">
        <f>HYPERLINK("https://patentcenter.uspto.gov/applications/15701250","Patent Center")</f>
        <v>0.0</v>
      </c>
      <c r="H131" s="2" t="n">
        <f>HYPERLINK("https://worldwide.espacenet.com/patent/search?q=US20190081394","Espacenet")</f>
        <v>0.0</v>
      </c>
      <c r="I131" s="2" t="n">
        <f>HYPERLINK("https://ppubs.uspto.gov/pubwebapp/external.html?q=20190081394.pn.","USPTO")</f>
        <v>0.0</v>
      </c>
      <c r="J131" s="2" t="n">
        <f>HYPERLINK("https://image-ppubs.uspto.gov/dirsearch-public/print/downloadPdf/20190081394","USPTO PDF")</f>
        <v>0.0</v>
      </c>
      <c r="K131" s="2" t="n">
        <f>HYPERLINK("https://sectors.patentforecast.com/pmd/US20190081394","PMD")</f>
        <v>0.0</v>
      </c>
      <c r="L131" s="2" t="n">
        <f>HYPERLINK("https://globaldossier.uspto.gov/result/application/US/15701250/1","US20190081394")</f>
        <v>0.0</v>
      </c>
      <c r="M131" t="s">
        <v>908</v>
      </c>
      <c r="N131" t="s">
        <v>901</v>
      </c>
      <c r="O131" t="s">
        <v>902</v>
      </c>
      <c r="P131" t="s">
        <v>909</v>
      </c>
      <c r="Q131" s="3" t="n">
        <v>42989.0</v>
      </c>
      <c r="R131" s="3" t="n">
        <v>43538.0</v>
      </c>
      <c r="S131" s="3" t="n">
        <v>43787.40097122685</v>
      </c>
      <c r="T131" s="3" t="n">
        <v>43789.433521493054</v>
      </c>
      <c r="U131" t="s">
        <v>910</v>
      </c>
      <c r="V131" t="s">
        <v>911</v>
      </c>
    </row>
    <row r="132">
      <c r="A132" t="s">
        <v>22</v>
      </c>
      <c r="B132" t="s">
        <v>912</v>
      </c>
      <c r="C132" t="s">
        <v>168</v>
      </c>
      <c r="D132" t="s">
        <v>168</v>
      </c>
      <c r="E132" t="s">
        <v>913</v>
      </c>
      <c r="F132" s="2" t="n">
        <f>HYPERLINK("https://patents.google.com/patent/US20190076844","Google")</f>
        <v>0.0</v>
      </c>
      <c r="G132" s="2" t="n">
        <f>HYPERLINK("https://patentcenter.uspto.gov/applications/16185178","Patent Center")</f>
        <v>0.0</v>
      </c>
      <c r="H132" s="2" t="n">
        <f>HYPERLINK("https://worldwide.espacenet.com/patent/search?q=US20190076844","Espacenet")</f>
        <v>0.0</v>
      </c>
      <c r="I132" s="2" t="n">
        <f>HYPERLINK("https://ppubs.uspto.gov/pubwebapp/external.html?q=20190076844.pn.","USPTO")</f>
        <v>0.0</v>
      </c>
      <c r="J132" s="2" t="n">
        <f>HYPERLINK("https://image-ppubs.uspto.gov/dirsearch-public/print/downloadPdf/20190076844","USPTO PDF")</f>
        <v>0.0</v>
      </c>
      <c r="K132" s="2" t="n">
        <f>HYPERLINK("https://sectors.patentforecast.com/pmd/US20190076844","PMD")</f>
        <v>0.0</v>
      </c>
      <c r="L132" s="2" t="n">
        <f>HYPERLINK("https://globaldossier.uspto.gov/result/application/US/16185178/1","US20190076844")</f>
        <v>0.0</v>
      </c>
      <c r="M132" t="s">
        <v>914</v>
      </c>
      <c r="N132" t="s">
        <v>915</v>
      </c>
      <c r="O132" t="s">
        <v>915</v>
      </c>
      <c r="P132" t="s">
        <v>916</v>
      </c>
      <c r="Q132" s="3" t="n">
        <v>43413.0</v>
      </c>
      <c r="R132" s="3" t="n">
        <v>43538.0</v>
      </c>
      <c r="S132" s="3" t="n">
        <v>43787.46957394676</v>
      </c>
      <c r="T132" s="3" t="n">
        <v>43789.65953125</v>
      </c>
      <c r="U132" t="s">
        <v>917</v>
      </c>
      <c r="V132" t="s">
        <v>918</v>
      </c>
    </row>
    <row r="133">
      <c r="A133" t="s">
        <v>22</v>
      </c>
      <c r="B133" t="s">
        <v>919</v>
      </c>
      <c r="C133" t="s">
        <v>24</v>
      </c>
      <c r="D133" t="s">
        <v>25</v>
      </c>
      <c r="E133" t="s">
        <v>920</v>
      </c>
      <c r="F133" s="2" t="n">
        <f>HYPERLINK("https://patents.google.com/patent/US20190074872","Google")</f>
        <v>0.0</v>
      </c>
      <c r="G133" s="2" t="n">
        <f>HYPERLINK("https://patentcenter.uspto.gov/applications/16183071","Patent Center")</f>
        <v>0.0</v>
      </c>
      <c r="H133" s="2" t="n">
        <f>HYPERLINK("https://worldwide.espacenet.com/patent/search?q=US20190074872","Espacenet")</f>
        <v>0.0</v>
      </c>
      <c r="I133" s="2" t="n">
        <f>HYPERLINK("https://ppubs.uspto.gov/pubwebapp/external.html?q=20190074872.pn.","USPTO")</f>
        <v>0.0</v>
      </c>
      <c r="J133" s="2" t="n">
        <f>HYPERLINK("https://image-ppubs.uspto.gov/dirsearch-public/print/downloadPdf/20190074872","USPTO PDF")</f>
        <v>0.0</v>
      </c>
      <c r="K133" s="2" t="n">
        <f>HYPERLINK("https://sectors.patentforecast.com/pmd/US20190074872","PMD")</f>
        <v>0.0</v>
      </c>
      <c r="L133" s="2" t="n">
        <f>HYPERLINK("https://globaldossier.uspto.gov/result/application/US/16183071/1","US20190074872")</f>
        <v>0.0</v>
      </c>
      <c r="M133" t="s">
        <v>921</v>
      </c>
      <c r="N133" t="s">
        <v>154</v>
      </c>
      <c r="O133" t="s">
        <v>155</v>
      </c>
      <c r="P133" t="s">
        <v>156</v>
      </c>
      <c r="Q133" s="3" t="n">
        <v>43411.0</v>
      </c>
      <c r="R133" s="3" t="n">
        <v>43531.0</v>
      </c>
      <c r="S133" s="3" t="n">
        <v>44496.75739728009</v>
      </c>
      <c r="T133" s="3" t="n">
        <v>44496.76168256944</v>
      </c>
      <c r="U133" t="s">
        <v>922</v>
      </c>
      <c r="V133" t="s">
        <v>923</v>
      </c>
    </row>
    <row r="134">
      <c r="A134" t="s">
        <v>22</v>
      </c>
      <c r="B134" t="s">
        <v>924</v>
      </c>
      <c r="C134" t="s">
        <v>61</v>
      </c>
      <c r="D134" t="s">
        <v>61</v>
      </c>
      <c r="E134" t="s">
        <v>925</v>
      </c>
      <c r="F134" s="2" t="n">
        <f>HYPERLINK("https://patents.google.com/patent/US20190058259","Google")</f>
        <v>0.0</v>
      </c>
      <c r="G134" s="2" t="n">
        <f>HYPERLINK("https://patentcenter.uspto.gov/applications/16166415","Patent Center")</f>
        <v>0.0</v>
      </c>
      <c r="H134" s="2" t="n">
        <f>HYPERLINK("https://worldwide.espacenet.com/patent/search?q=US20190058259","Espacenet")</f>
        <v>0.0</v>
      </c>
      <c r="I134" s="2" t="n">
        <f>HYPERLINK("https://ppubs.uspto.gov/pubwebapp/external.html?q=20190058259.pn.","USPTO")</f>
        <v>0.0</v>
      </c>
      <c r="J134" s="2" t="n">
        <f>HYPERLINK("https://image-ppubs.uspto.gov/dirsearch-public/print/downloadPdf/20190058259","USPTO PDF")</f>
        <v>0.0</v>
      </c>
      <c r="K134" s="2" t="n">
        <f>HYPERLINK("https://sectors.patentforecast.com/pmd/US20190058259","PMD")</f>
        <v>0.0</v>
      </c>
      <c r="L134" s="2" t="n">
        <f>HYPERLINK("https://globaldossier.uspto.gov/result/application/US/16166415/1","US20190058259")</f>
        <v>0.0</v>
      </c>
      <c r="M134" t="s">
        <v>926</v>
      </c>
      <c r="N134" t="s">
        <v>227</v>
      </c>
      <c r="O134" t="s">
        <v>228</v>
      </c>
      <c r="P134" t="s">
        <v>197</v>
      </c>
      <c r="Q134" s="3" t="n">
        <v>43395.0</v>
      </c>
      <c r="R134" s="3" t="n">
        <v>43517.0</v>
      </c>
      <c r="S134" s="3" t="n">
        <v>43789.56425347222</v>
      </c>
      <c r="T134" s="3" t="n">
        <v>43789.63691300926</v>
      </c>
      <c r="U134" t="s">
        <v>198</v>
      </c>
      <c r="V134" t="s">
        <v>199</v>
      </c>
    </row>
    <row r="135">
      <c r="A135" t="s">
        <v>22</v>
      </c>
      <c r="B135" t="s">
        <v>927</v>
      </c>
      <c r="C135" t="s">
        <v>24</v>
      </c>
      <c r="D135" t="s">
        <v>25</v>
      </c>
      <c r="E135" t="s">
        <v>928</v>
      </c>
      <c r="F135" s="2" t="n">
        <f>HYPERLINK("https://patents.google.com/patent/US20190053050","Google")</f>
        <v>0.0</v>
      </c>
      <c r="G135" s="2" t="n">
        <f>HYPERLINK("https://patentcenter.uspto.gov/applications/15676009","Patent Center")</f>
        <v>0.0</v>
      </c>
      <c r="H135" s="2" t="n">
        <f>HYPERLINK("https://worldwide.espacenet.com/patent/search?q=US20190053050","Espacenet")</f>
        <v>0.0</v>
      </c>
      <c r="I135" s="2" t="n">
        <f>HYPERLINK("https://ppubs.uspto.gov/pubwebapp/external.html?q=20190053050.pn.","USPTO")</f>
        <v>0.0</v>
      </c>
      <c r="J135" s="2" t="n">
        <f>HYPERLINK("https://image-ppubs.uspto.gov/dirsearch-public/print/downloadPdf/20190053050","USPTO PDF")</f>
        <v>0.0</v>
      </c>
      <c r="K135" s="2" t="n">
        <f>HYPERLINK("https://sectors.patentforecast.com/pmd/US20190053050","PMD")</f>
        <v>0.0</v>
      </c>
      <c r="L135" s="2" t="n">
        <f>HYPERLINK("https://globaldossier.uspto.gov/result/application/US/15676009/1","US20190053050")</f>
        <v>0.0</v>
      </c>
      <c r="M135" t="s">
        <v>929</v>
      </c>
      <c r="N135" t="s">
        <v>930</v>
      </c>
      <c r="O135" t="s">
        <v>931</v>
      </c>
      <c r="P135" t="s">
        <v>932</v>
      </c>
      <c r="Q135" s="3" t="n">
        <v>42961.0</v>
      </c>
      <c r="R135" s="3" t="n">
        <v>43510.0</v>
      </c>
      <c r="S135" s="3" t="n">
        <v>43791.5214258912</v>
      </c>
      <c r="T135" s="3" t="n">
        <v>43791.530137581016</v>
      </c>
      <c r="U135" t="s">
        <v>933</v>
      </c>
      <c r="V135" t="s">
        <v>934</v>
      </c>
    </row>
    <row r="136">
      <c r="A136" t="s">
        <v>22</v>
      </c>
      <c r="B136" t="s">
        <v>935</v>
      </c>
      <c r="C136" t="s">
        <v>168</v>
      </c>
      <c r="D136" t="s">
        <v>168</v>
      </c>
      <c r="E136" t="s">
        <v>936</v>
      </c>
      <c r="F136" s="2" t="n">
        <f>HYPERLINK("https://patents.google.com/patent/US20190045907","Google")</f>
        <v>0.0</v>
      </c>
      <c r="G136" s="2" t="n">
        <f>HYPERLINK("https://patentcenter.uspto.gov/applications/16160833","Patent Center")</f>
        <v>0.0</v>
      </c>
      <c r="H136" s="2" t="n">
        <f>HYPERLINK("https://worldwide.espacenet.com/patent/search?q=US20190045907","Espacenet")</f>
        <v>0.0</v>
      </c>
      <c r="I136" s="2" t="n">
        <f>HYPERLINK("https://ppubs.uspto.gov/pubwebapp/external.html?q=20190045907.pn.","USPTO")</f>
        <v>0.0</v>
      </c>
      <c r="J136" s="2" t="n">
        <f>HYPERLINK("https://image-ppubs.uspto.gov/dirsearch-public/print/downloadPdf/20190045907","USPTO PDF")</f>
        <v>0.0</v>
      </c>
      <c r="K136" s="2" t="n">
        <f>HYPERLINK("https://sectors.patentforecast.com/pmd/US20190045907","PMD")</f>
        <v>0.0</v>
      </c>
      <c r="L136" s="2" t="n">
        <f>HYPERLINK("https://globaldossier.uspto.gov/result/application/US/16160833/1","US20190045907")</f>
        <v>0.0</v>
      </c>
      <c r="M136" t="s">
        <v>937</v>
      </c>
      <c r="N136" t="s">
        <v>227</v>
      </c>
      <c r="O136" t="s">
        <v>228</v>
      </c>
      <c r="P136" t="s">
        <v>938</v>
      </c>
      <c r="Q136" s="3" t="n">
        <v>43388.0</v>
      </c>
      <c r="R136" s="3" t="n">
        <v>43510.0</v>
      </c>
      <c r="S136" s="3" t="n">
        <v>43787.46945793981</v>
      </c>
      <c r="T136" s="3" t="n">
        <v>43789.404711331015</v>
      </c>
      <c r="U136" t="s">
        <v>939</v>
      </c>
      <c r="V136" t="s">
        <v>940</v>
      </c>
    </row>
    <row r="137">
      <c r="A137" t="s">
        <v>22</v>
      </c>
      <c r="B137" t="s">
        <v>941</v>
      </c>
      <c r="C137" t="s">
        <v>61</v>
      </c>
      <c r="D137" t="s">
        <v>61</v>
      </c>
      <c r="E137" t="s">
        <v>634</v>
      </c>
      <c r="F137" s="2" t="n">
        <f>HYPERLINK("https://patents.google.com/patent/US20190044217","Google")</f>
        <v>0.0</v>
      </c>
      <c r="G137" s="2" t="n">
        <f>HYPERLINK("https://patentcenter.uspto.gov/applications/15873836","Patent Center")</f>
        <v>0.0</v>
      </c>
      <c r="H137" s="2" t="n">
        <f>HYPERLINK("https://worldwide.espacenet.com/patent/search?q=US20190044217","Espacenet")</f>
        <v>0.0</v>
      </c>
      <c r="I137" s="2" t="n">
        <f>HYPERLINK("https://ppubs.uspto.gov/pubwebapp/external.html?q=20190044217.pn.","USPTO")</f>
        <v>0.0</v>
      </c>
      <c r="J137" s="2" t="n">
        <f>HYPERLINK("https://image-ppubs.uspto.gov/dirsearch-public/print/downloadPdf/20190044217","USPTO PDF")</f>
        <v>0.0</v>
      </c>
      <c r="K137" s="2" t="n">
        <f>HYPERLINK("https://sectors.patentforecast.com/pmd/US20190044217","PMD")</f>
        <v>0.0</v>
      </c>
      <c r="L137" s="2" t="n">
        <f>HYPERLINK("https://globaldossier.uspto.gov/result/application/US/15873836/1","US20190044217")</f>
        <v>0.0</v>
      </c>
      <c r="M137" t="s">
        <v>942</v>
      </c>
      <c r="N137" t="s">
        <v>314</v>
      </c>
      <c r="O137" t="s">
        <v>315</v>
      </c>
      <c r="P137" t="s">
        <v>316</v>
      </c>
      <c r="Q137" s="3" t="n">
        <v>43117.0</v>
      </c>
      <c r="R137" s="3" t="n">
        <v>43503.0</v>
      </c>
      <c r="S137" s="3" t="n">
        <v>43787.400969849536</v>
      </c>
      <c r="T137" s="3" t="n">
        <v>43788.6818525</v>
      </c>
      <c r="U137" t="s">
        <v>943</v>
      </c>
      <c r="V137" t="s">
        <v>637</v>
      </c>
    </row>
    <row r="138">
      <c r="A138" t="s">
        <v>22</v>
      </c>
      <c r="B138" t="s">
        <v>944</v>
      </c>
      <c r="C138" t="s">
        <v>168</v>
      </c>
      <c r="D138" t="s">
        <v>168</v>
      </c>
      <c r="E138" t="s">
        <v>945</v>
      </c>
      <c r="F138" s="2" t="n">
        <f>HYPERLINK("https://patents.google.com/patent/US20180372524","Google")</f>
        <v>0.0</v>
      </c>
      <c r="G138" s="2" t="n">
        <f>HYPERLINK("https://patentcenter.uspto.gov/applications/15779248","Patent Center")</f>
        <v>0.0</v>
      </c>
      <c r="H138" s="2" t="n">
        <f>HYPERLINK("https://worldwide.espacenet.com/patent/search?q=US20180372524","Espacenet")</f>
        <v>0.0</v>
      </c>
      <c r="I138" s="2" t="n">
        <f>HYPERLINK("https://ppubs.uspto.gov/pubwebapp/external.html?q=20180372524.pn.","USPTO")</f>
        <v>0.0</v>
      </c>
      <c r="J138" s="2" t="n">
        <f>HYPERLINK("https://image-ppubs.uspto.gov/dirsearch-public/print/downloadPdf/20180372524","USPTO PDF")</f>
        <v>0.0</v>
      </c>
      <c r="K138" s="2" t="n">
        <f>HYPERLINK("https://sectors.patentforecast.com/pmd/US20180372524","PMD")</f>
        <v>0.0</v>
      </c>
      <c r="L138" s="2" t="n">
        <f>HYPERLINK("https://globaldossier.uspto.gov/result/application/US/15779248/1","US20180372524")</f>
        <v>0.0</v>
      </c>
      <c r="M138" t="s">
        <v>946</v>
      </c>
      <c r="N138" t="s">
        <v>227</v>
      </c>
      <c r="O138" t="s">
        <v>228</v>
      </c>
      <c r="P138" t="s">
        <v>947</v>
      </c>
      <c r="Q138" s="3" t="n">
        <v>42697.0</v>
      </c>
      <c r="R138" s="3" t="n">
        <v>43461.0</v>
      </c>
      <c r="S138" s="3" t="n">
        <v>43787.46957394676</v>
      </c>
      <c r="T138" s="3" t="n">
        <v>43789.655617916666</v>
      </c>
      <c r="U138" t="s">
        <v>948</v>
      </c>
      <c r="V138" t="s">
        <v>949</v>
      </c>
    </row>
    <row r="139">
      <c r="A139" t="s">
        <v>22</v>
      </c>
      <c r="B139" t="s">
        <v>950</v>
      </c>
      <c r="C139" t="s">
        <v>61</v>
      </c>
      <c r="D139" t="s">
        <v>61</v>
      </c>
      <c r="E139" t="s">
        <v>951</v>
      </c>
      <c r="F139" s="2" t="n">
        <f>HYPERLINK("https://patents.google.com/patent/US20180359611","Google")</f>
        <v>0.0</v>
      </c>
      <c r="G139" s="2" t="n">
        <f>HYPERLINK("https://patentcenter.uspto.gov/applications/15618096","Patent Center")</f>
        <v>0.0</v>
      </c>
      <c r="H139" s="2" t="n">
        <f>HYPERLINK("https://worldwide.espacenet.com/patent/search?q=US20180359611","Espacenet")</f>
        <v>0.0</v>
      </c>
      <c r="I139" s="2" t="n">
        <f>HYPERLINK("https://ppubs.uspto.gov/pubwebapp/external.html?q=20180359611.pn.","USPTO")</f>
        <v>0.0</v>
      </c>
      <c r="J139" s="2" t="n">
        <f>HYPERLINK("https://image-ppubs.uspto.gov/dirsearch-public/print/downloadPdf/20180359611","USPTO PDF")</f>
        <v>0.0</v>
      </c>
      <c r="K139" s="2" t="n">
        <f>HYPERLINK("https://sectors.patentforecast.com/pmd/US20180359611","PMD")</f>
        <v>0.0</v>
      </c>
      <c r="L139" s="2" t="n">
        <f>HYPERLINK("https://globaldossier.uspto.gov/result/application/US/15618096/1","US20180359611")</f>
        <v>0.0</v>
      </c>
      <c r="M139" t="s">
        <v>952</v>
      </c>
      <c r="N139" t="s">
        <v>953</v>
      </c>
      <c r="O139" t="s">
        <v>954</v>
      </c>
      <c r="P139" t="s">
        <v>955</v>
      </c>
      <c r="Q139" s="3" t="n">
        <v>42894.0</v>
      </c>
      <c r="R139" s="3" t="n">
        <v>43447.0</v>
      </c>
      <c r="S139" s="3" t="n">
        <v>43788.411822546295</v>
      </c>
      <c r="T139" s="3" t="n">
        <v>43788.6818525</v>
      </c>
      <c r="U139" t="s">
        <v>956</v>
      </c>
      <c r="V139" t="s">
        <v>957</v>
      </c>
    </row>
    <row r="140">
      <c r="A140" t="s">
        <v>22</v>
      </c>
      <c r="B140" t="s">
        <v>958</v>
      </c>
      <c r="C140" t="s">
        <v>24</v>
      </c>
      <c r="D140" t="s">
        <v>25</v>
      </c>
      <c r="E140" t="s">
        <v>920</v>
      </c>
      <c r="F140" s="2" t="n">
        <f>HYPERLINK("https://patents.google.com/patent/US20180337711","Google")</f>
        <v>0.0</v>
      </c>
      <c r="G140" s="2" t="n">
        <f>HYPERLINK("https://patentcenter.uspto.gov/applications/15984350","Patent Center")</f>
        <v>0.0</v>
      </c>
      <c r="H140" s="2" t="n">
        <f>HYPERLINK("https://worldwide.espacenet.com/patent/search?q=US20180337711","Espacenet")</f>
        <v>0.0</v>
      </c>
      <c r="I140" s="2" t="n">
        <f>HYPERLINK("https://ppubs.uspto.gov/pubwebapp/external.html?q=20180337711.pn.","USPTO")</f>
        <v>0.0</v>
      </c>
      <c r="J140" s="2" t="n">
        <f>HYPERLINK("https://image-ppubs.uspto.gov/dirsearch-public/print/downloadPdf/20180337711","USPTO PDF")</f>
        <v>0.0</v>
      </c>
      <c r="K140" s="2" t="n">
        <f>HYPERLINK("https://sectors.patentforecast.com/pmd/US20180337711","PMD")</f>
        <v>0.0</v>
      </c>
      <c r="L140" s="2" t="n">
        <f>HYPERLINK("https://globaldossier.uspto.gov/result/application/US/15984350/1","US20180337711")</f>
        <v>0.0</v>
      </c>
      <c r="M140" t="s">
        <v>959</v>
      </c>
      <c r="N140" t="s">
        <v>154</v>
      </c>
      <c r="O140" t="s">
        <v>155</v>
      </c>
      <c r="P140" t="s">
        <v>156</v>
      </c>
      <c r="Q140" s="3" t="n">
        <v>43239.0</v>
      </c>
      <c r="R140" s="3" t="n">
        <v>43426.0</v>
      </c>
      <c r="S140" s="3" t="n">
        <v>44496.75739728009</v>
      </c>
      <c r="T140" s="3" t="n">
        <v>44496.761683125</v>
      </c>
      <c r="U140" t="s">
        <v>922</v>
      </c>
      <c r="V140" t="s">
        <v>923</v>
      </c>
    </row>
    <row r="141">
      <c r="A141" t="s">
        <v>22</v>
      </c>
      <c r="B141" t="s">
        <v>960</v>
      </c>
      <c r="C141" t="s">
        <v>168</v>
      </c>
      <c r="D141" t="s">
        <v>168</v>
      </c>
      <c r="E141" t="s">
        <v>961</v>
      </c>
      <c r="F141" s="2" t="n">
        <f>HYPERLINK("https://patents.google.com/patent/US20180310698","Google")</f>
        <v>0.0</v>
      </c>
      <c r="G141" s="2" t="n">
        <f>HYPERLINK("https://patentcenter.uspto.gov/applications/16028825","Patent Center")</f>
        <v>0.0</v>
      </c>
      <c r="H141" s="2" t="n">
        <f>HYPERLINK("https://worldwide.espacenet.com/patent/search?q=US20180310698","Espacenet")</f>
        <v>0.0</v>
      </c>
      <c r="I141" s="2" t="n">
        <f>HYPERLINK("https://ppubs.uspto.gov/pubwebapp/external.html?q=20180310698.pn.","USPTO")</f>
        <v>0.0</v>
      </c>
      <c r="J141" s="2" t="n">
        <f>HYPERLINK("https://image-ppubs.uspto.gov/dirsearch-public/print/downloadPdf/20180310698","USPTO PDF")</f>
        <v>0.0</v>
      </c>
      <c r="K141" s="2" t="n">
        <f>HYPERLINK("https://sectors.patentforecast.com/pmd/US20180310698","PMD")</f>
        <v>0.0</v>
      </c>
      <c r="L141" s="2" t="n">
        <f>HYPERLINK("https://globaldossier.uspto.gov/result/application/US/16028825/1","US20180310698")</f>
        <v>0.0</v>
      </c>
      <c r="M141" t="s">
        <v>962</v>
      </c>
      <c r="N141" t="s">
        <v>227</v>
      </c>
      <c r="O141" t="s">
        <v>228</v>
      </c>
      <c r="P141" t="s">
        <v>963</v>
      </c>
      <c r="Q141" s="3" t="n">
        <v>43287.0</v>
      </c>
      <c r="R141" s="3" t="n">
        <v>43405.0</v>
      </c>
      <c r="S141" s="3" t="n">
        <v>43787.46957394676</v>
      </c>
      <c r="T141" s="3" t="n">
        <v>43789.655617916666</v>
      </c>
      <c r="U141" t="s">
        <v>964</v>
      </c>
      <c r="V141" t="s">
        <v>965</v>
      </c>
    </row>
    <row r="142">
      <c r="A142" t="s">
        <v>22</v>
      </c>
      <c r="B142" t="s">
        <v>966</v>
      </c>
      <c r="C142" t="s">
        <v>168</v>
      </c>
      <c r="D142" t="s">
        <v>168</v>
      </c>
      <c r="E142" t="s">
        <v>967</v>
      </c>
      <c r="F142" s="2" t="n">
        <f>HYPERLINK("https://patents.google.com/patent/US20180303213","Google")</f>
        <v>0.0</v>
      </c>
      <c r="G142" s="2" t="n">
        <f>HYPERLINK("https://patentcenter.uspto.gov/applications/15958158","Patent Center")</f>
        <v>0.0</v>
      </c>
      <c r="H142" s="2" t="n">
        <f>HYPERLINK("https://worldwide.espacenet.com/patent/search?q=US20180303213","Espacenet")</f>
        <v>0.0</v>
      </c>
      <c r="I142" s="2" t="n">
        <f>HYPERLINK("https://ppubs.uspto.gov/pubwebapp/external.html?q=20180303213.pn.","USPTO")</f>
        <v>0.0</v>
      </c>
      <c r="J142" s="2" t="n">
        <f>HYPERLINK("https://image-ppubs.uspto.gov/dirsearch-public/print/downloadPdf/20180303213","USPTO PDF")</f>
        <v>0.0</v>
      </c>
      <c r="K142" s="2" t="n">
        <f>HYPERLINK("https://sectors.patentforecast.com/pmd/US20180303213","PMD")</f>
        <v>0.0</v>
      </c>
      <c r="L142" s="2" t="n">
        <f>HYPERLINK("https://globaldossier.uspto.gov/result/application/US/15958158/1","US20180303213")</f>
        <v>0.0</v>
      </c>
      <c r="M142" t="s">
        <v>968</v>
      </c>
      <c r="N142" t="s">
        <v>227</v>
      </c>
      <c r="O142" t="s">
        <v>228</v>
      </c>
      <c r="P142" t="s">
        <v>969</v>
      </c>
      <c r="Q142" s="3" t="n">
        <v>43210.0</v>
      </c>
      <c r="R142" s="3" t="n">
        <v>43398.0</v>
      </c>
      <c r="S142" s="3" t="n">
        <v>43936.04463175926</v>
      </c>
      <c r="T142" s="3" t="n">
        <v>43936.489194525464</v>
      </c>
      <c r="U142" t="s">
        <v>970</v>
      </c>
      <c r="V142" t="s">
        <v>971</v>
      </c>
    </row>
    <row r="143">
      <c r="A143" t="s">
        <v>22</v>
      </c>
      <c r="B143" t="s">
        <v>972</v>
      </c>
      <c r="C143" t="s">
        <v>24</v>
      </c>
      <c r="D143" t="s">
        <v>25</v>
      </c>
      <c r="E143" t="s">
        <v>973</v>
      </c>
      <c r="F143" s="2" t="n">
        <f>HYPERLINK("https://patents.google.com/patent/US20180303003","Google")</f>
        <v>0.0</v>
      </c>
      <c r="G143" s="2" t="n">
        <f>HYPERLINK("https://patentcenter.uspto.gov/applications/15954444","Patent Center")</f>
        <v>0.0</v>
      </c>
      <c r="H143" s="2" t="n">
        <f>HYPERLINK("https://worldwide.espacenet.com/patent/search?q=US20180303003","Espacenet")</f>
        <v>0.0</v>
      </c>
      <c r="I143" s="2" t="n">
        <f>HYPERLINK("https://ppubs.uspto.gov/pubwebapp/external.html?q=20180303003.pn.","USPTO")</f>
        <v>0.0</v>
      </c>
      <c r="J143" s="2" t="n">
        <f>HYPERLINK("https://image-ppubs.uspto.gov/dirsearch-public/print/downloadPdf/20180303003","USPTO PDF")</f>
        <v>0.0</v>
      </c>
      <c r="K143" s="2" t="n">
        <f>HYPERLINK("https://sectors.patentforecast.com/pmd/US20180303003","PMD")</f>
        <v>0.0</v>
      </c>
      <c r="L143" s="2" t="n">
        <f>HYPERLINK("https://globaldossier.uspto.gov/result/application/US/15954444/1","US20180303003")</f>
        <v>0.0</v>
      </c>
      <c r="M143" t="s">
        <v>974</v>
      </c>
      <c r="N143" t="s">
        <v>975</v>
      </c>
      <c r="O143" t="s">
        <v>976</v>
      </c>
      <c r="P143" t="s">
        <v>977</v>
      </c>
      <c r="Q143" s="3" t="n">
        <v>43206.0</v>
      </c>
      <c r="R143" s="3" t="n">
        <v>43391.0</v>
      </c>
      <c r="S143" s="3" t="n">
        <v>43791.5423780787</v>
      </c>
      <c r="T143" s="3" t="n">
        <v>43791.547037083335</v>
      </c>
      <c r="U143" t="s">
        <v>978</v>
      </c>
      <c r="V143" t="s">
        <v>979</v>
      </c>
    </row>
    <row r="144">
      <c r="A144" t="s">
        <v>22</v>
      </c>
      <c r="B144" t="s">
        <v>980</v>
      </c>
      <c r="C144" t="s">
        <v>168</v>
      </c>
      <c r="D144" t="s">
        <v>168</v>
      </c>
      <c r="E144" t="s">
        <v>981</v>
      </c>
      <c r="F144" s="2" t="n">
        <f>HYPERLINK("https://patents.google.com/patent/US20180301793","Google")</f>
        <v>0.0</v>
      </c>
      <c r="G144" s="2" t="n">
        <f>HYPERLINK("https://patentcenter.uspto.gov/applications/15486882","Patent Center")</f>
        <v>0.0</v>
      </c>
      <c r="H144" s="2" t="n">
        <f>HYPERLINK("https://worldwide.espacenet.com/patent/search?q=US20180301793","Espacenet")</f>
        <v>0.0</v>
      </c>
      <c r="I144" s="2" t="n">
        <f>HYPERLINK("https://ppubs.uspto.gov/pubwebapp/external.html?q=20180301793.pn.","USPTO")</f>
        <v>0.0</v>
      </c>
      <c r="J144" s="2" t="n">
        <f>HYPERLINK("https://image-ppubs.uspto.gov/dirsearch-public/print/downloadPdf/20180301793","USPTO PDF")</f>
        <v>0.0</v>
      </c>
      <c r="K144" s="2" t="n">
        <f>HYPERLINK("https://sectors.patentforecast.com/pmd/US20180301793","PMD")</f>
        <v>0.0</v>
      </c>
      <c r="L144" s="2" t="n">
        <f>HYPERLINK("https://globaldossier.uspto.gov/result/application/US/15486882/1","US20180301793")</f>
        <v>0.0</v>
      </c>
      <c r="M144" t="s">
        <v>982</v>
      </c>
      <c r="N144" t="s">
        <v>983</v>
      </c>
      <c r="O144" t="s">
        <v>984</v>
      </c>
      <c r="P144" t="s">
        <v>985</v>
      </c>
      <c r="Q144" s="3" t="n">
        <v>42838.0</v>
      </c>
      <c r="R144" s="3" t="n">
        <v>43391.0</v>
      </c>
      <c r="S144" s="3" t="n">
        <v>43787.411726238424</v>
      </c>
      <c r="T144" s="3" t="n">
        <v>43789.40658869213</v>
      </c>
      <c r="U144" t="s">
        <v>986</v>
      </c>
      <c r="V144" t="s">
        <v>987</v>
      </c>
    </row>
    <row r="145">
      <c r="A145" t="s">
        <v>22</v>
      </c>
      <c r="B145" t="s">
        <v>988</v>
      </c>
      <c r="C145" t="s">
        <v>24</v>
      </c>
      <c r="D145" t="s">
        <v>25</v>
      </c>
      <c r="E145" t="s">
        <v>989</v>
      </c>
      <c r="F145" s="2" t="n">
        <f>HYPERLINK("https://patents.google.com/patent/US20180294551","Google")</f>
        <v>0.0</v>
      </c>
      <c r="G145" s="2" t="n">
        <f>HYPERLINK("https://patentcenter.uspto.gov/applications/15480136","Patent Center")</f>
        <v>0.0</v>
      </c>
      <c r="H145" s="2" t="n">
        <f>HYPERLINK("https://worldwide.espacenet.com/patent/search?q=US20180294551","Espacenet")</f>
        <v>0.0</v>
      </c>
      <c r="I145" s="2" t="n">
        <f>HYPERLINK("https://ppubs.uspto.gov/pubwebapp/external.html?q=20180294551.pn.","USPTO")</f>
        <v>0.0</v>
      </c>
      <c r="J145" s="2" t="n">
        <f>HYPERLINK("https://image-ppubs.uspto.gov/dirsearch-public/print/downloadPdf/20180294551","USPTO PDF")</f>
        <v>0.0</v>
      </c>
      <c r="K145" s="2" t="n">
        <f>HYPERLINK("https://sectors.patentforecast.com/pmd/US20180294551","PMD")</f>
        <v>0.0</v>
      </c>
      <c r="L145" s="2" t="n">
        <f>HYPERLINK("https://globaldossier.uspto.gov/result/application/US/15480136/1","US20180294551")</f>
        <v>0.0</v>
      </c>
      <c r="M145" t="s">
        <v>990</v>
      </c>
      <c r="N145" t="s">
        <v>991</v>
      </c>
      <c r="O145" t="s">
        <v>992</v>
      </c>
      <c r="P145" t="s">
        <v>993</v>
      </c>
      <c r="Q145" s="3" t="n">
        <v>42830.0</v>
      </c>
      <c r="R145" s="3" t="n">
        <v>43384.0</v>
      </c>
      <c r="S145" s="3" t="n">
        <v>43788.41194168982</v>
      </c>
      <c r="T145" s="3" t="n">
        <v>43789.409797534725</v>
      </c>
      <c r="U145" t="s">
        <v>994</v>
      </c>
      <c r="V145" t="s">
        <v>995</v>
      </c>
    </row>
    <row r="146">
      <c r="A146" t="s">
        <v>22</v>
      </c>
      <c r="B146" t="s">
        <v>996</v>
      </c>
      <c r="C146" t="s">
        <v>52</v>
      </c>
      <c r="D146" t="s">
        <v>52</v>
      </c>
      <c r="E146" t="s">
        <v>997</v>
      </c>
      <c r="F146" s="2" t="n">
        <f>HYPERLINK("https://patents.google.com/patent/US20180287657","Google")</f>
        <v>0.0</v>
      </c>
      <c r="G146" s="2" t="n">
        <f>HYPERLINK("https://patentcenter.uspto.gov/applications/15935323","Patent Center")</f>
        <v>0.0</v>
      </c>
      <c r="H146" s="2" t="n">
        <f>HYPERLINK("https://worldwide.espacenet.com/patent/search?q=US20180287657","Espacenet")</f>
        <v>0.0</v>
      </c>
      <c r="I146" s="2" t="n">
        <f>HYPERLINK("https://ppubs.uspto.gov/pubwebapp/external.html?q=20180287657.pn.","USPTO")</f>
        <v>0.0</v>
      </c>
      <c r="J146" s="2" t="n">
        <f>HYPERLINK("https://image-ppubs.uspto.gov/dirsearch-public/print/downloadPdf/20180287657","USPTO PDF")</f>
        <v>0.0</v>
      </c>
      <c r="K146" s="2" t="n">
        <f>HYPERLINK("https://sectors.patentforecast.com/pmd/US20180287657","PMD")</f>
        <v>0.0</v>
      </c>
      <c r="L146" s="2" t="n">
        <f>HYPERLINK("https://globaldossier.uspto.gov/result/application/US/15935323/1","US20180287657")</f>
        <v>0.0</v>
      </c>
      <c r="M146" t="s">
        <v>998</v>
      </c>
      <c r="N146" t="s">
        <v>366</v>
      </c>
      <c r="O146" t="s">
        <v>367</v>
      </c>
      <c r="P146" t="s">
        <v>368</v>
      </c>
      <c r="Q146" s="3" t="n">
        <v>43185.0</v>
      </c>
      <c r="R146" s="3" t="n">
        <v>43377.0</v>
      </c>
      <c r="S146" s="3" t="n">
        <v>43789.564135266206</v>
      </c>
      <c r="T146" s="3" t="n">
        <v>43789.612674930555</v>
      </c>
      <c r="U146" t="s">
        <v>999</v>
      </c>
      <c r="V146" t="s">
        <v>1000</v>
      </c>
    </row>
    <row r="147">
      <c r="A147" t="s">
        <v>22</v>
      </c>
      <c r="B147" t="s">
        <v>1001</v>
      </c>
      <c r="C147" t="s">
        <v>61</v>
      </c>
      <c r="D147" t="s">
        <v>61</v>
      </c>
      <c r="E147" t="s">
        <v>330</v>
      </c>
      <c r="F147" s="2" t="n">
        <f>HYPERLINK("https://patents.google.com/patent/US20180262050","Google")</f>
        <v>0.0</v>
      </c>
      <c r="G147" s="2" t="n">
        <f>HYPERLINK("https://patentcenter.uspto.gov/applications/15759473","Patent Center")</f>
        <v>0.0</v>
      </c>
      <c r="H147" s="2" t="n">
        <f>HYPERLINK("https://worldwide.espacenet.com/patent/search?q=US20180262050","Espacenet")</f>
        <v>0.0</v>
      </c>
      <c r="I147" s="2" t="n">
        <f>HYPERLINK("https://ppubs.uspto.gov/pubwebapp/external.html?q=20180262050.pn.","USPTO")</f>
        <v>0.0</v>
      </c>
      <c r="J147" s="2" t="n">
        <f>HYPERLINK("https://image-ppubs.uspto.gov/dirsearch-public/print/downloadPdf/20180262050","USPTO PDF")</f>
        <v>0.0</v>
      </c>
      <c r="K147" s="2" t="n">
        <f>HYPERLINK("https://sectors.patentforecast.com/pmd/US20180262050","PMD")</f>
        <v>0.0</v>
      </c>
      <c r="L147" s="2" t="n">
        <f>HYPERLINK("https://globaldossier.uspto.gov/result/application/US/15759473/1","US20180262050")</f>
        <v>0.0</v>
      </c>
      <c r="M147" t="s">
        <v>1002</v>
      </c>
      <c r="N147" t="s">
        <v>332</v>
      </c>
      <c r="O147" t="s">
        <v>333</v>
      </c>
      <c r="P147" t="s">
        <v>1003</v>
      </c>
      <c r="Q147" s="3" t="n">
        <v>42625.0</v>
      </c>
      <c r="R147" s="3" t="n">
        <v>43356.0</v>
      </c>
      <c r="S147" s="3" t="n">
        <v>43788.41194168982</v>
      </c>
      <c r="T147" s="3" t="n">
        <v>43788.6818525</v>
      </c>
      <c r="U147" t="s">
        <v>1004</v>
      </c>
      <c r="V147" t="s">
        <v>1005</v>
      </c>
    </row>
    <row r="148">
      <c r="A148" t="s">
        <v>22</v>
      </c>
      <c r="B148" t="s">
        <v>1006</v>
      </c>
      <c r="C148" t="s">
        <v>24</v>
      </c>
      <c r="D148" t="s">
        <v>25</v>
      </c>
      <c r="E148" t="s">
        <v>877</v>
      </c>
      <c r="F148" s="2" t="n">
        <f>HYPERLINK("https://patents.google.com/patent/US20180261909","Google")</f>
        <v>0.0</v>
      </c>
      <c r="G148" s="2" t="n">
        <f>HYPERLINK("https://patentcenter.uspto.gov/applications/15979646","Patent Center")</f>
        <v>0.0</v>
      </c>
      <c r="H148" s="2" t="n">
        <f>HYPERLINK("https://worldwide.espacenet.com/patent/search?q=US20180261909","Espacenet")</f>
        <v>0.0</v>
      </c>
      <c r="I148" s="2" t="n">
        <f>HYPERLINK("https://ppubs.uspto.gov/pubwebapp/external.html?q=20180261909.pn.","USPTO")</f>
        <v>0.0</v>
      </c>
      <c r="J148" s="2" t="n">
        <f>HYPERLINK("https://image-ppubs.uspto.gov/dirsearch-public/print/downloadPdf/20180261909","USPTO PDF")</f>
        <v>0.0</v>
      </c>
      <c r="K148" s="2" t="n">
        <f>HYPERLINK("https://sectors.patentforecast.com/pmd/US20180261909","PMD")</f>
        <v>0.0</v>
      </c>
      <c r="L148" s="2" t="n">
        <f>HYPERLINK("https://globaldossier.uspto.gov/result/application/US/15979646/1","US20180261909")</f>
        <v>0.0</v>
      </c>
      <c r="M148" t="s">
        <v>1007</v>
      </c>
      <c r="N148" t="s">
        <v>314</v>
      </c>
      <c r="O148" t="s">
        <v>315</v>
      </c>
      <c r="P148" t="s">
        <v>316</v>
      </c>
      <c r="Q148" s="3" t="n">
        <v>43235.0</v>
      </c>
      <c r="R148" s="3" t="n">
        <v>43356.0</v>
      </c>
      <c r="S148" s="3" t="n">
        <v>43787.400969849536</v>
      </c>
      <c r="T148" s="3" t="n">
        <v>43788.67679730324</v>
      </c>
      <c r="U148" t="s">
        <v>1008</v>
      </c>
      <c r="V148" t="s">
        <v>880</v>
      </c>
    </row>
    <row r="149">
      <c r="A149" t="s">
        <v>22</v>
      </c>
      <c r="B149" t="s">
        <v>1009</v>
      </c>
      <c r="C149" t="s">
        <v>24</v>
      </c>
      <c r="D149" t="s">
        <v>25</v>
      </c>
      <c r="E149" t="s">
        <v>858</v>
      </c>
      <c r="F149" s="2" t="n">
        <f>HYPERLINK("https://patents.google.com/patent/US20180258882","Google")</f>
        <v>0.0</v>
      </c>
      <c r="G149" s="2" t="n">
        <f>HYPERLINK("https://patentcenter.uspto.gov/applications/15975116","Patent Center")</f>
        <v>0.0</v>
      </c>
      <c r="H149" s="2" t="n">
        <f>HYPERLINK("https://worldwide.espacenet.com/patent/search?q=US20180258882","Espacenet")</f>
        <v>0.0</v>
      </c>
      <c r="I149" s="2" t="n">
        <f>HYPERLINK("https://ppubs.uspto.gov/pubwebapp/external.html?q=20180258882.pn.","USPTO")</f>
        <v>0.0</v>
      </c>
      <c r="J149" s="2" t="n">
        <f>HYPERLINK("https://image-ppubs.uspto.gov/dirsearch-public/print/downloadPdf/20180258882","USPTO PDF")</f>
        <v>0.0</v>
      </c>
      <c r="K149" s="2" t="n">
        <f>HYPERLINK("https://sectors.patentforecast.com/pmd/US20180258882","PMD")</f>
        <v>0.0</v>
      </c>
      <c r="L149" s="2" t="n">
        <f>HYPERLINK("https://globaldossier.uspto.gov/result/application/US/15975116/1","US20180258882")</f>
        <v>0.0</v>
      </c>
      <c r="M149" t="s">
        <v>1010</v>
      </c>
      <c r="N149" t="s">
        <v>283</v>
      </c>
      <c r="O149" t="s">
        <v>284</v>
      </c>
      <c r="P149" t="s">
        <v>285</v>
      </c>
      <c r="Q149" s="3" t="n">
        <v>43229.0</v>
      </c>
      <c r="R149" s="3" t="n">
        <v>43356.0</v>
      </c>
      <c r="S149" s="3" t="n">
        <v>43789.47362791667</v>
      </c>
      <c r="T149" s="3" t="n">
        <v>43790.3827684375</v>
      </c>
      <c r="U149" t="s">
        <v>1011</v>
      </c>
      <c r="V149" t="s">
        <v>861</v>
      </c>
    </row>
    <row r="150">
      <c r="A150" t="s">
        <v>22</v>
      </c>
      <c r="B150" t="s">
        <v>1012</v>
      </c>
      <c r="C150" t="s">
        <v>24</v>
      </c>
      <c r="D150" t="s">
        <v>25</v>
      </c>
      <c r="E150" t="s">
        <v>307</v>
      </c>
      <c r="F150" s="2" t="n">
        <f>HYPERLINK("https://patents.google.com/patent/US20180249133","Google")</f>
        <v>0.0</v>
      </c>
      <c r="G150" s="2" t="n">
        <f>HYPERLINK("https://patentcenter.uspto.gov/applications/15965098","Patent Center")</f>
        <v>0.0</v>
      </c>
      <c r="H150" s="2" t="n">
        <f>HYPERLINK("https://worldwide.espacenet.com/patent/search?q=US20180249133","Espacenet")</f>
        <v>0.0</v>
      </c>
      <c r="I150" s="2" t="n">
        <f>HYPERLINK("https://ppubs.uspto.gov/pubwebapp/external.html?q=20180249133.pn.","USPTO")</f>
        <v>0.0</v>
      </c>
      <c r="J150" s="2" t="n">
        <f>HYPERLINK("https://image-ppubs.uspto.gov/dirsearch-public/print/downloadPdf/20180249133","USPTO PDF")</f>
        <v>0.0</v>
      </c>
      <c r="K150" s="2" t="n">
        <f>HYPERLINK("https://sectors.patentforecast.com/pmd/US20180249133","PMD")</f>
        <v>0.0</v>
      </c>
      <c r="L150" s="2" t="n">
        <f>HYPERLINK("https://globaldossier.uspto.gov/result/application/US/15965098/1","US20180249133")</f>
        <v>0.0</v>
      </c>
      <c r="M150" t="s">
        <v>1013</v>
      </c>
      <c r="N150" t="s">
        <v>283</v>
      </c>
      <c r="O150" t="s">
        <v>284</v>
      </c>
      <c r="P150" t="s">
        <v>285</v>
      </c>
      <c r="Q150" s="3" t="n">
        <v>43217.0</v>
      </c>
      <c r="R150" s="3" t="n">
        <v>43342.0</v>
      </c>
      <c r="S150" s="3" t="n">
        <v>43789.47362791667</v>
      </c>
      <c r="T150" s="3" t="n">
        <v>43790.371933518516</v>
      </c>
      <c r="U150" t="s">
        <v>1014</v>
      </c>
      <c r="V150" t="s">
        <v>1015</v>
      </c>
    </row>
    <row r="151">
      <c r="A151" t="s">
        <v>22</v>
      </c>
      <c r="B151" t="s">
        <v>1016</v>
      </c>
      <c r="C151" t="s">
        <v>24</v>
      </c>
      <c r="D151" t="s">
        <v>25</v>
      </c>
      <c r="E151" t="s">
        <v>1017</v>
      </c>
      <c r="F151" s="2" t="n">
        <f>HYPERLINK("https://patents.google.com/patent/US20180242185","Google")</f>
        <v>0.0</v>
      </c>
      <c r="G151" s="2" t="n">
        <f>HYPERLINK("https://patentcenter.uspto.gov/applications/15961357","Patent Center")</f>
        <v>0.0</v>
      </c>
      <c r="H151" s="2" t="n">
        <f>HYPERLINK("https://worldwide.espacenet.com/patent/search?q=US20180242185","Espacenet")</f>
        <v>0.0</v>
      </c>
      <c r="I151" s="2" t="n">
        <f>HYPERLINK("https://ppubs.uspto.gov/pubwebapp/external.html?q=20180242185.pn.","USPTO")</f>
        <v>0.0</v>
      </c>
      <c r="J151" s="2" t="n">
        <f>HYPERLINK("https://image-ppubs.uspto.gov/dirsearch-public/print/downloadPdf/20180242185","USPTO PDF")</f>
        <v>0.0</v>
      </c>
      <c r="K151" s="2" t="n">
        <f>HYPERLINK("https://sectors.patentforecast.com/pmd/US20180242185","PMD")</f>
        <v>0.0</v>
      </c>
      <c r="L151" s="2" t="n">
        <f>HYPERLINK("https://globaldossier.uspto.gov/result/application/US/15961357/1","US20180242185")</f>
        <v>0.0</v>
      </c>
      <c r="M151" t="s">
        <v>1018</v>
      </c>
      <c r="N151" t="s">
        <v>1019</v>
      </c>
      <c r="O151" t="s">
        <v>1020</v>
      </c>
      <c r="P151" t="s">
        <v>1021</v>
      </c>
      <c r="Q151" s="3" t="n">
        <v>43214.0</v>
      </c>
      <c r="R151" s="3" t="n">
        <v>43335.0</v>
      </c>
      <c r="S151" s="3" t="n">
        <v>43791.42837125</v>
      </c>
      <c r="T151" s="3" t="n">
        <v>43791.429297546296</v>
      </c>
      <c r="U151" t="s">
        <v>1022</v>
      </c>
      <c r="V151" t="s">
        <v>1023</v>
      </c>
    </row>
    <row r="152">
      <c r="A152" t="s">
        <v>22</v>
      </c>
      <c r="B152" t="s">
        <v>1024</v>
      </c>
      <c r="C152" t="s">
        <v>168</v>
      </c>
      <c r="D152" t="s">
        <v>168</v>
      </c>
      <c r="E152" t="s">
        <v>1025</v>
      </c>
      <c r="F152" s="2" t="n">
        <f>HYPERLINK("https://patents.google.com/patent/US20180193843","Google")</f>
        <v>0.0</v>
      </c>
      <c r="G152" s="2" t="n">
        <f>HYPERLINK("https://patentcenter.uspto.gov/applications/15866073","Patent Center")</f>
        <v>0.0</v>
      </c>
      <c r="H152" s="2" t="n">
        <f>HYPERLINK("https://worldwide.espacenet.com/patent/search?q=US20180193843","Espacenet")</f>
        <v>0.0</v>
      </c>
      <c r="I152" s="2" t="n">
        <f>HYPERLINK("https://ppubs.uspto.gov/pubwebapp/external.html?q=20180193843.pn.","USPTO")</f>
        <v>0.0</v>
      </c>
      <c r="J152" s="2" t="n">
        <f>HYPERLINK("https://image-ppubs.uspto.gov/dirsearch-public/print/downloadPdf/20180193843","USPTO PDF")</f>
        <v>0.0</v>
      </c>
      <c r="K152" s="2" t="n">
        <f>HYPERLINK("https://sectors.patentforecast.com/pmd/US20180193843","PMD")</f>
        <v>0.0</v>
      </c>
      <c r="L152" s="2" t="n">
        <f>HYPERLINK("https://globaldossier.uspto.gov/result/application/US/15866073/1","US20180193843")</f>
        <v>0.0</v>
      </c>
      <c r="M152" t="s">
        <v>1026</v>
      </c>
      <c r="N152" t="s">
        <v>915</v>
      </c>
      <c r="O152" t="s">
        <v>915</v>
      </c>
      <c r="P152" t="s">
        <v>916</v>
      </c>
      <c r="Q152" s="3" t="n">
        <v>43109.0</v>
      </c>
      <c r="R152" s="3" t="n">
        <v>43293.0</v>
      </c>
      <c r="S152" s="3" t="n">
        <v>43787.46945793981</v>
      </c>
      <c r="T152" s="3" t="n">
        <v>43789.65953125</v>
      </c>
      <c r="U152" t="s">
        <v>1027</v>
      </c>
      <c r="V152" t="s">
        <v>1028</v>
      </c>
    </row>
    <row r="153">
      <c r="A153" t="s">
        <v>22</v>
      </c>
      <c r="B153" t="s">
        <v>1029</v>
      </c>
      <c r="C153" t="s">
        <v>52</v>
      </c>
      <c r="D153" t="s">
        <v>52</v>
      </c>
      <c r="E153" t="s">
        <v>1030</v>
      </c>
      <c r="F153" s="2" t="n">
        <f>HYPERLINK("https://patents.google.com/patent/US20180191189","Google")</f>
        <v>0.0</v>
      </c>
      <c r="G153" s="2" t="n">
        <f>HYPERLINK("https://patentcenter.uspto.gov/applications/14860824","Patent Center")</f>
        <v>0.0</v>
      </c>
      <c r="H153" s="2" t="n">
        <f>HYPERLINK("https://worldwide.espacenet.com/patent/search?q=US20180191189","Espacenet")</f>
        <v>0.0</v>
      </c>
      <c r="I153" s="2" t="n">
        <f>HYPERLINK("https://ppubs.uspto.gov/pubwebapp/external.html?q=20180191189.pn.","USPTO")</f>
        <v>0.0</v>
      </c>
      <c r="J153" s="2" t="n">
        <f>HYPERLINK("https://image-ppubs.uspto.gov/dirsearch-public/print/downloadPdf/20180191189","USPTO PDF")</f>
        <v>0.0</v>
      </c>
      <c r="K153" s="2" t="n">
        <f>HYPERLINK("https://sectors.patentforecast.com/pmd/US20180191189","PMD")</f>
        <v>0.0</v>
      </c>
      <c r="L153" s="2" t="n">
        <f>HYPERLINK("https://globaldossier.uspto.gov/result/application/US/14860824/1","US20180191189")</f>
        <v>0.0</v>
      </c>
      <c r="M153" t="s">
        <v>1031</v>
      </c>
      <c r="N153" t="s">
        <v>1032</v>
      </c>
      <c r="O153" t="s">
        <v>1033</v>
      </c>
      <c r="P153" t="s">
        <v>1034</v>
      </c>
      <c r="Q153" s="3" t="n">
        <v>42269.0</v>
      </c>
      <c r="R153" s="3" t="n">
        <v>43286.0</v>
      </c>
      <c r="S153" s="3" t="n">
        <v>43788.411822546295</v>
      </c>
      <c r="T153" s="3" t="n">
        <v>43789.403667453706</v>
      </c>
      <c r="U153" t="s">
        <v>1035</v>
      </c>
      <c r="V153" t="s">
        <v>1036</v>
      </c>
    </row>
    <row r="154">
      <c r="A154" t="s">
        <v>22</v>
      </c>
      <c r="B154" t="s">
        <v>1037</v>
      </c>
      <c r="C154" t="s">
        <v>24</v>
      </c>
      <c r="D154" t="s">
        <v>25</v>
      </c>
      <c r="E154" t="s">
        <v>1038</v>
      </c>
      <c r="F154" s="2" t="n">
        <f>HYPERLINK("https://patents.google.com/patent/US20180168065","Google")</f>
        <v>0.0</v>
      </c>
      <c r="G154" s="2" t="n">
        <f>HYPERLINK("https://patentcenter.uspto.gov/applications/15886351","Patent Center")</f>
        <v>0.0</v>
      </c>
      <c r="H154" s="2" t="n">
        <f>HYPERLINK("https://worldwide.espacenet.com/patent/search?q=US20180168065","Espacenet")</f>
        <v>0.0</v>
      </c>
      <c r="I154" s="2" t="n">
        <f>HYPERLINK("https://ppubs.uspto.gov/pubwebapp/external.html?q=20180168065.pn.","USPTO")</f>
        <v>0.0</v>
      </c>
      <c r="J154" s="2" t="n">
        <f>HYPERLINK("https://image-ppubs.uspto.gov/dirsearch-public/print/downloadPdf/20180168065","USPTO PDF")</f>
        <v>0.0</v>
      </c>
      <c r="K154" s="2" t="n">
        <f>HYPERLINK("https://sectors.patentforecast.com/pmd/US20180168065","PMD")</f>
        <v>0.0</v>
      </c>
      <c r="L154" s="2" t="n">
        <f>HYPERLINK("https://globaldossier.uspto.gov/result/application/US/15886351/1","US20180168065")</f>
        <v>0.0</v>
      </c>
      <c r="M154" t="s">
        <v>1039</v>
      </c>
      <c r="N154" t="s">
        <v>283</v>
      </c>
      <c r="O154" t="s">
        <v>284</v>
      </c>
      <c r="P154" t="s">
        <v>285</v>
      </c>
      <c r="Q154" s="3" t="n">
        <v>43132.0</v>
      </c>
      <c r="R154" s="3" t="n">
        <v>43265.0</v>
      </c>
      <c r="S154" s="3" t="n">
        <v>43789.47362791667</v>
      </c>
      <c r="T154" s="3" t="n">
        <v>43790.3827684375</v>
      </c>
      <c r="U154" t="s">
        <v>1040</v>
      </c>
      <c r="V154" t="s">
        <v>1041</v>
      </c>
    </row>
    <row r="155">
      <c r="A155" t="s">
        <v>22</v>
      </c>
      <c r="B155" t="s">
        <v>1042</v>
      </c>
      <c r="C155" t="s">
        <v>24</v>
      </c>
      <c r="D155" t="s">
        <v>25</v>
      </c>
      <c r="E155" t="s">
        <v>1043</v>
      </c>
      <c r="F155" s="2" t="n">
        <f>HYPERLINK("https://patents.google.com/patent/US20180167795","Google")</f>
        <v>0.0</v>
      </c>
      <c r="G155" s="2" t="n">
        <f>HYPERLINK("https://patentcenter.uspto.gov/applications/15577686","Patent Center")</f>
        <v>0.0</v>
      </c>
      <c r="H155" s="2" t="n">
        <f>HYPERLINK("https://worldwide.espacenet.com/patent/search?q=US20180167795","Espacenet")</f>
        <v>0.0</v>
      </c>
      <c r="I155" s="2" t="n">
        <f>HYPERLINK("https://ppubs.uspto.gov/pubwebapp/external.html?q=20180167795.pn.","USPTO")</f>
        <v>0.0</v>
      </c>
      <c r="J155" s="2" t="n">
        <f>HYPERLINK("https://image-ppubs.uspto.gov/dirsearch-public/print/downloadPdf/20180167795","USPTO PDF")</f>
        <v>0.0</v>
      </c>
      <c r="K155" s="2" t="n">
        <f>HYPERLINK("https://sectors.patentforecast.com/pmd/US20180167795","PMD")</f>
        <v>0.0</v>
      </c>
      <c r="L155" s="2" t="n">
        <f>HYPERLINK("https://globaldossier.uspto.gov/result/application/US/15577686/1","US20180167795")</f>
        <v>0.0</v>
      </c>
      <c r="M155" t="s">
        <v>1044</v>
      </c>
      <c r="N155" t="s">
        <v>1045</v>
      </c>
      <c r="O155" t="s">
        <v>1046</v>
      </c>
      <c r="P155" t="s">
        <v>1047</v>
      </c>
      <c r="Q155" s="3" t="n">
        <v>42565.0</v>
      </c>
      <c r="R155" s="3" t="n">
        <v>43265.0</v>
      </c>
      <c r="S155" s="3" t="n">
        <v>43791.482539537035</v>
      </c>
      <c r="T155" s="3" t="n">
        <v>43791.48640076389</v>
      </c>
      <c r="U155" t="s">
        <v>1048</v>
      </c>
      <c r="V155" t="s">
        <v>1049</v>
      </c>
    </row>
    <row r="156">
      <c r="A156" t="s">
        <v>22</v>
      </c>
      <c r="B156" t="s">
        <v>1050</v>
      </c>
      <c r="C156" t="s">
        <v>24</v>
      </c>
      <c r="D156" t="s">
        <v>25</v>
      </c>
      <c r="E156" t="s">
        <v>1051</v>
      </c>
      <c r="F156" s="2" t="n">
        <f>HYPERLINK("https://patents.google.com/patent/US20180167130","Google")</f>
        <v>0.0</v>
      </c>
      <c r="G156" s="2" t="n">
        <f>HYPERLINK("https://patentcenter.uspto.gov/applications/15372454","Patent Center")</f>
        <v>0.0</v>
      </c>
      <c r="H156" s="2" t="n">
        <f>HYPERLINK("https://worldwide.espacenet.com/patent/search?q=US20180167130","Espacenet")</f>
        <v>0.0</v>
      </c>
      <c r="I156" s="2" t="n">
        <f>HYPERLINK("https://ppubs.uspto.gov/pubwebapp/external.html?q=20180167130.pn.","USPTO")</f>
        <v>0.0</v>
      </c>
      <c r="J156" s="2" t="n">
        <f>HYPERLINK("https://image-ppubs.uspto.gov/dirsearch-public/print/downloadPdf/20180167130","USPTO PDF")</f>
        <v>0.0</v>
      </c>
      <c r="K156" s="2" t="n">
        <f>HYPERLINK("https://sectors.patentforecast.com/pmd/US20180167130","PMD")</f>
        <v>0.0</v>
      </c>
      <c r="L156" s="2" t="n">
        <f>HYPERLINK("https://globaldossier.uspto.gov/result/application/US/15372454/1","US20180167130")</f>
        <v>0.0</v>
      </c>
      <c r="M156" t="s">
        <v>1052</v>
      </c>
      <c r="N156" t="s">
        <v>390</v>
      </c>
      <c r="O156" t="s">
        <v>391</v>
      </c>
      <c r="P156" t="s">
        <v>1053</v>
      </c>
      <c r="Q156" s="3" t="n">
        <v>42712.0</v>
      </c>
      <c r="R156" s="3" t="n">
        <v>43265.0</v>
      </c>
      <c r="S156" s="3" t="n">
        <v>43787.405568622686</v>
      </c>
      <c r="T156" s="3" t="n">
        <v>44497.68511828704</v>
      </c>
      <c r="U156" t="s">
        <v>1054</v>
      </c>
      <c r="V156" t="s">
        <v>1055</v>
      </c>
    </row>
    <row r="157">
      <c r="A157" t="s">
        <v>22</v>
      </c>
      <c r="B157" t="s">
        <v>1056</v>
      </c>
      <c r="C157" t="s">
        <v>24</v>
      </c>
      <c r="D157" t="s">
        <v>25</v>
      </c>
      <c r="E157" t="s">
        <v>1057</v>
      </c>
      <c r="F157" s="2" t="n">
        <f>HYPERLINK("https://patents.google.com/patent/US20180151960","Google")</f>
        <v>0.0</v>
      </c>
      <c r="G157" s="2" t="n">
        <f>HYPERLINK("https://patentcenter.uspto.gov/applications/15878531","Patent Center")</f>
        <v>0.0</v>
      </c>
      <c r="H157" s="2" t="n">
        <f>HYPERLINK("https://worldwide.espacenet.com/patent/search?q=US20180151960","Espacenet")</f>
        <v>0.0</v>
      </c>
      <c r="I157" s="2" t="n">
        <f>HYPERLINK("https://ppubs.uspto.gov/pubwebapp/external.html?q=20180151960.pn.","USPTO")</f>
        <v>0.0</v>
      </c>
      <c r="J157" s="2" t="n">
        <f>HYPERLINK("https://image-ppubs.uspto.gov/dirsearch-public/print/downloadPdf/20180151960","USPTO PDF")</f>
        <v>0.0</v>
      </c>
      <c r="K157" s="2" t="n">
        <f>HYPERLINK("https://sectors.patentforecast.com/pmd/US20180151960","PMD")</f>
        <v>0.0</v>
      </c>
      <c r="L157" s="2" t="n">
        <f>HYPERLINK("https://globaldossier.uspto.gov/result/application/US/15878531/1","US20180151960")</f>
        <v>0.0</v>
      </c>
      <c r="M157" t="s">
        <v>1058</v>
      </c>
      <c r="N157" t="s">
        <v>227</v>
      </c>
      <c r="O157" t="s">
        <v>228</v>
      </c>
      <c r="P157" t="s">
        <v>197</v>
      </c>
      <c r="Q157" s="3" t="n">
        <v>43124.0</v>
      </c>
      <c r="R157" s="3" t="n">
        <v>43251.0</v>
      </c>
      <c r="S157" s="3" t="n">
        <v>43789.564135266206</v>
      </c>
      <c r="T157" s="3" t="n">
        <v>43789.60741532408</v>
      </c>
      <c r="U157" t="s">
        <v>198</v>
      </c>
      <c r="V157" t="s">
        <v>1059</v>
      </c>
    </row>
    <row r="158">
      <c r="A158" t="s">
        <v>22</v>
      </c>
      <c r="B158" t="s">
        <v>1060</v>
      </c>
      <c r="C158" t="s">
        <v>24</v>
      </c>
      <c r="D158" t="s">
        <v>25</v>
      </c>
      <c r="E158" t="s">
        <v>1061</v>
      </c>
      <c r="F158" s="2" t="n">
        <f>HYPERLINK("https://patents.google.com/patent/US20180123238","Google")</f>
        <v>0.0</v>
      </c>
      <c r="G158" s="2" t="n">
        <f>HYPERLINK("https://patentcenter.uspto.gov/applications/15302063","Patent Center")</f>
        <v>0.0</v>
      </c>
      <c r="H158" s="2" t="n">
        <f>HYPERLINK("https://worldwide.espacenet.com/patent/search?q=US20180123238","Espacenet")</f>
        <v>0.0</v>
      </c>
      <c r="I158" s="2" t="n">
        <f>HYPERLINK("https://ppubs.uspto.gov/pubwebapp/external.html?q=20180123238.pn.","USPTO")</f>
        <v>0.0</v>
      </c>
      <c r="J158" s="2" t="n">
        <f>HYPERLINK("https://image-ppubs.uspto.gov/dirsearch-public/print/downloadPdf/20180123238","USPTO PDF")</f>
        <v>0.0</v>
      </c>
      <c r="K158" s="2" t="n">
        <f>HYPERLINK("https://sectors.patentforecast.com/pmd/US20180123238","PMD")</f>
        <v>0.0</v>
      </c>
      <c r="L158" s="2" t="n">
        <f>HYPERLINK("https://globaldossier.uspto.gov/result/application/US/15302063/1","US20180123238")</f>
        <v>0.0</v>
      </c>
      <c r="M158" t="s">
        <v>1062</v>
      </c>
      <c r="N158" t="s">
        <v>1063</v>
      </c>
      <c r="O158" t="s">
        <v>1064</v>
      </c>
      <c r="P158" t="s">
        <v>1065</v>
      </c>
      <c r="Q158" s="3" t="n">
        <v>42473.0</v>
      </c>
      <c r="R158" s="3" t="n">
        <v>43223.0</v>
      </c>
      <c r="S158" s="3" t="n">
        <v>43788.411822546295</v>
      </c>
      <c r="T158" s="3" t="n">
        <v>43789.65704225694</v>
      </c>
      <c r="U158" t="s">
        <v>1066</v>
      </c>
      <c r="V158" t="s">
        <v>1067</v>
      </c>
    </row>
    <row r="159">
      <c r="A159" t="s">
        <v>22</v>
      </c>
      <c r="B159" t="s">
        <v>1068</v>
      </c>
      <c r="C159" t="s">
        <v>24</v>
      </c>
      <c r="D159" t="s">
        <v>25</v>
      </c>
      <c r="E159" t="s">
        <v>1069</v>
      </c>
      <c r="F159" s="2" t="n">
        <f>HYPERLINK("https://patents.google.com/patent/US20180102831","Google")</f>
        <v>0.0</v>
      </c>
      <c r="G159" s="2" t="n">
        <f>HYPERLINK("https://patentcenter.uspto.gov/applications/15485849","Patent Center")</f>
        <v>0.0</v>
      </c>
      <c r="H159" s="2" t="n">
        <f>HYPERLINK("https://worldwide.espacenet.com/patent/search?q=US20180102831","Espacenet")</f>
        <v>0.0</v>
      </c>
      <c r="I159" s="2" t="n">
        <f>HYPERLINK("https://ppubs.uspto.gov/pubwebapp/external.html?q=20180102831.pn.","USPTO")</f>
        <v>0.0</v>
      </c>
      <c r="J159" s="2" t="n">
        <f>HYPERLINK("https://image-ppubs.uspto.gov/dirsearch-public/print/downloadPdf/20180102831","USPTO PDF")</f>
        <v>0.0</v>
      </c>
      <c r="K159" s="2" t="n">
        <f>HYPERLINK("https://sectors.patentforecast.com/pmd/US20180102831","PMD")</f>
        <v>0.0</v>
      </c>
      <c r="L159" s="2" t="n">
        <f>HYPERLINK("https://globaldossier.uspto.gov/result/application/US/15485849/1","US20180102831")</f>
        <v>0.0</v>
      </c>
      <c r="M159" t="s">
        <v>1070</v>
      </c>
      <c r="N159" t="s">
        <v>445</v>
      </c>
      <c r="O159" t="s">
        <v>446</v>
      </c>
      <c r="P159" t="s">
        <v>447</v>
      </c>
      <c r="Q159" s="3" t="n">
        <v>42837.0</v>
      </c>
      <c r="R159" s="3" t="n">
        <v>43202.0</v>
      </c>
      <c r="S159" s="3" t="n">
        <v>43789.464250474535</v>
      </c>
      <c r="T159" s="3" t="n">
        <v>43791.483009421296</v>
      </c>
      <c r="U159" t="s">
        <v>1071</v>
      </c>
      <c r="V159" t="s">
        <v>1072</v>
      </c>
    </row>
    <row r="160">
      <c r="A160" t="s">
        <v>22</v>
      </c>
      <c r="B160" t="s">
        <v>1073</v>
      </c>
      <c r="C160" t="s">
        <v>168</v>
      </c>
      <c r="D160" t="s">
        <v>168</v>
      </c>
      <c r="E160" t="s">
        <v>894</v>
      </c>
      <c r="F160" s="2" t="n">
        <f>HYPERLINK("https://patents.google.com/patent/US20180102656","Google")</f>
        <v>0.0</v>
      </c>
      <c r="G160" s="2" t="n">
        <f>HYPERLINK("https://patentcenter.uspto.gov/applications/15836299","Patent Center")</f>
        <v>0.0</v>
      </c>
      <c r="H160" s="2" t="n">
        <f>HYPERLINK("https://worldwide.espacenet.com/patent/search?q=US20180102656","Espacenet")</f>
        <v>0.0</v>
      </c>
      <c r="I160" s="2" t="n">
        <f>HYPERLINK("https://ppubs.uspto.gov/pubwebapp/external.html?q=20180102656.pn.","USPTO")</f>
        <v>0.0</v>
      </c>
      <c r="J160" s="2" t="n">
        <f>HYPERLINK("https://image-ppubs.uspto.gov/dirsearch-public/print/downloadPdf/20180102656","USPTO PDF")</f>
        <v>0.0</v>
      </c>
      <c r="K160" s="2" t="n">
        <f>HYPERLINK("https://sectors.patentforecast.com/pmd/US20180102656","PMD")</f>
        <v>0.0</v>
      </c>
      <c r="L160" s="2" t="n">
        <f>HYPERLINK("https://globaldossier.uspto.gov/result/application/US/15836299/1","US20180102656")</f>
        <v>0.0</v>
      </c>
      <c r="M160" t="s">
        <v>1074</v>
      </c>
      <c r="N160" t="s">
        <v>283</v>
      </c>
      <c r="O160" t="s">
        <v>284</v>
      </c>
      <c r="P160" t="s">
        <v>285</v>
      </c>
      <c r="Q160" s="3" t="n">
        <v>43077.0</v>
      </c>
      <c r="R160" s="3" t="n">
        <v>43202.0</v>
      </c>
      <c r="S160" s="3" t="n">
        <v>43795.99971130787</v>
      </c>
      <c r="T160" s="3" t="n">
        <v>43789.505789097224</v>
      </c>
      <c r="U160" t="s">
        <v>1075</v>
      </c>
      <c r="V160" t="s">
        <v>1076</v>
      </c>
    </row>
    <row r="161">
      <c r="A161" t="s">
        <v>22</v>
      </c>
      <c r="B161" t="s">
        <v>1077</v>
      </c>
      <c r="C161" t="s">
        <v>168</v>
      </c>
      <c r="D161" t="s">
        <v>168</v>
      </c>
      <c r="E161" t="s">
        <v>1078</v>
      </c>
      <c r="F161" s="2" t="n">
        <f>HYPERLINK("https://patents.google.com/patent/US20180102518","Google")</f>
        <v>0.0</v>
      </c>
      <c r="G161" s="2" t="n">
        <f>HYPERLINK("https://patentcenter.uspto.gov/applications/15836259","Patent Center")</f>
        <v>0.0</v>
      </c>
      <c r="H161" s="2" t="n">
        <f>HYPERLINK("https://worldwide.espacenet.com/patent/search?q=US20180102518","Espacenet")</f>
        <v>0.0</v>
      </c>
      <c r="I161" s="2" t="n">
        <f>HYPERLINK("https://ppubs.uspto.gov/pubwebapp/external.html?q=20180102518.pn.","USPTO")</f>
        <v>0.0</v>
      </c>
      <c r="J161" s="2" t="n">
        <f>HYPERLINK("https://image-ppubs.uspto.gov/dirsearch-public/print/downloadPdf/20180102518","USPTO PDF")</f>
        <v>0.0</v>
      </c>
      <c r="K161" s="2" t="n">
        <f>HYPERLINK("https://sectors.patentforecast.com/pmd/US20180102518","PMD")</f>
        <v>0.0</v>
      </c>
      <c r="L161" s="2" t="n">
        <f>HYPERLINK("https://globaldossier.uspto.gov/result/application/US/15836259/1","US20180102518")</f>
        <v>0.0</v>
      </c>
      <c r="M161" t="s">
        <v>1079</v>
      </c>
      <c r="N161" t="s">
        <v>283</v>
      </c>
      <c r="O161" t="s">
        <v>284</v>
      </c>
      <c r="P161" t="s">
        <v>285</v>
      </c>
      <c r="Q161" s="3" t="n">
        <v>43077.0</v>
      </c>
      <c r="R161" s="3" t="n">
        <v>43202.0</v>
      </c>
      <c r="S161" s="3" t="n">
        <v>43795.99971130787</v>
      </c>
      <c r="T161" s="3" t="n">
        <v>43789.49051125</v>
      </c>
      <c r="U161" t="s">
        <v>1080</v>
      </c>
      <c r="V161" t="s">
        <v>1081</v>
      </c>
    </row>
    <row r="162">
      <c r="A162" t="s">
        <v>22</v>
      </c>
      <c r="B162" t="s">
        <v>1082</v>
      </c>
      <c r="C162" t="s">
        <v>24</v>
      </c>
      <c r="D162" t="s">
        <v>25</v>
      </c>
      <c r="E162" t="s">
        <v>1083</v>
      </c>
      <c r="F162" s="2" t="n">
        <f>HYPERLINK("https://patents.google.com/patent/US20180091237","Google")</f>
        <v>0.0</v>
      </c>
      <c r="G162" s="2" t="n">
        <f>HYPERLINK("https://patentcenter.uspto.gov/applications/15827297","Patent Center")</f>
        <v>0.0</v>
      </c>
      <c r="H162" s="2" t="n">
        <f>HYPERLINK("https://worldwide.espacenet.com/patent/search?q=US20180091237","Espacenet")</f>
        <v>0.0</v>
      </c>
      <c r="I162" s="2" t="n">
        <f>HYPERLINK("https://ppubs.uspto.gov/pubwebapp/external.html?q=20180091237.pn.","USPTO")</f>
        <v>0.0</v>
      </c>
      <c r="J162" s="2" t="n">
        <f>HYPERLINK("https://image-ppubs.uspto.gov/dirsearch-public/print/downloadPdf/20180091237","USPTO PDF")</f>
        <v>0.0</v>
      </c>
      <c r="K162" s="2" t="n">
        <f>HYPERLINK("https://sectors.patentforecast.com/pmd/US20180091237","PMD")</f>
        <v>0.0</v>
      </c>
      <c r="L162" s="2" t="n">
        <f>HYPERLINK("https://globaldossier.uspto.gov/result/application/US/15827297/1","US20180091237")</f>
        <v>0.0</v>
      </c>
      <c r="M162" t="s">
        <v>1084</v>
      </c>
      <c r="N162" t="s">
        <v>1085</v>
      </c>
      <c r="O162" t="s">
        <v>1086</v>
      </c>
      <c r="P162" t="s">
        <v>1087</v>
      </c>
      <c r="Q162" s="3" t="n">
        <v>43069.0</v>
      </c>
      <c r="R162" s="3" t="n">
        <v>43188.0</v>
      </c>
      <c r="S162" s="3" t="n">
        <v>43798.00121494213</v>
      </c>
      <c r="T162" s="3" t="n">
        <v>43789.405286354166</v>
      </c>
      <c r="U162" t="s">
        <v>1088</v>
      </c>
      <c r="V162" t="s">
        <v>1089</v>
      </c>
    </row>
    <row r="163">
      <c r="A163" t="s">
        <v>22</v>
      </c>
      <c r="B163" t="s">
        <v>1090</v>
      </c>
      <c r="C163" t="s">
        <v>24</v>
      </c>
      <c r="D163" t="s">
        <v>25</v>
      </c>
      <c r="E163" t="s">
        <v>312</v>
      </c>
      <c r="F163" s="2" t="n">
        <f>HYPERLINK("https://patents.google.com/patent/US20180084091","Google")</f>
        <v>0.0</v>
      </c>
      <c r="G163" s="2" t="n">
        <f>HYPERLINK("https://patentcenter.uspto.gov/applications/15708061","Patent Center")</f>
        <v>0.0</v>
      </c>
      <c r="H163" s="2" t="n">
        <f>HYPERLINK("https://worldwide.espacenet.com/patent/search?q=US20180084091","Espacenet")</f>
        <v>0.0</v>
      </c>
      <c r="I163" s="2" t="n">
        <f>HYPERLINK("https://ppubs.uspto.gov/pubwebapp/external.html?q=20180084091.pn.","USPTO")</f>
        <v>0.0</v>
      </c>
      <c r="J163" s="2" t="n">
        <f>HYPERLINK("https://image-ppubs.uspto.gov/dirsearch-public/print/downloadPdf/20180084091","USPTO PDF")</f>
        <v>0.0</v>
      </c>
      <c r="K163" s="2" t="n">
        <f>HYPERLINK("https://sectors.patentforecast.com/pmd/US20180084091","PMD")</f>
        <v>0.0</v>
      </c>
      <c r="L163" s="2" t="n">
        <f>HYPERLINK("https://globaldossier.uspto.gov/result/application/US/15708061/1","US20180084091")</f>
        <v>0.0</v>
      </c>
      <c r="M163" t="s">
        <v>1091</v>
      </c>
      <c r="N163" t="s">
        <v>314</v>
      </c>
      <c r="O163" t="s">
        <v>315</v>
      </c>
      <c r="P163" t="s">
        <v>316</v>
      </c>
      <c r="Q163" s="3" t="n">
        <v>42996.0</v>
      </c>
      <c r="R163" s="3" t="n">
        <v>43181.0</v>
      </c>
      <c r="S163" s="3" t="n">
        <v>43832.98074289352</v>
      </c>
      <c r="T163" s="3" t="n">
        <v>43789.41069361111</v>
      </c>
      <c r="U163" t="s">
        <v>1092</v>
      </c>
      <c r="V163" t="s">
        <v>1093</v>
      </c>
    </row>
    <row r="164">
      <c r="A164" t="s">
        <v>22</v>
      </c>
      <c r="B164" t="s">
        <v>1094</v>
      </c>
      <c r="C164" t="s">
        <v>168</v>
      </c>
      <c r="D164" t="s">
        <v>168</v>
      </c>
      <c r="E164" t="s">
        <v>894</v>
      </c>
      <c r="F164" s="2" t="n">
        <f>HYPERLINK("https://patents.google.com/patent/US20180062197","Google")</f>
        <v>0.0</v>
      </c>
      <c r="G164" s="2" t="n">
        <f>HYPERLINK("https://patentcenter.uspto.gov/applications/15664776","Patent Center")</f>
        <v>0.0</v>
      </c>
      <c r="H164" s="2" t="n">
        <f>HYPERLINK("https://worldwide.espacenet.com/patent/search?q=US20180062197","Espacenet")</f>
        <v>0.0</v>
      </c>
      <c r="I164" s="2" t="n">
        <f>HYPERLINK("https://ppubs.uspto.gov/pubwebapp/external.html?q=20180062197.pn.","USPTO")</f>
        <v>0.0</v>
      </c>
      <c r="J164" s="2" t="n">
        <f>HYPERLINK("https://image-ppubs.uspto.gov/dirsearch-public/print/downloadPdf/20180062197","USPTO PDF")</f>
        <v>0.0</v>
      </c>
      <c r="K164" s="2" t="n">
        <f>HYPERLINK("https://sectors.patentforecast.com/pmd/US20180062197","PMD")</f>
        <v>0.0</v>
      </c>
      <c r="L164" s="2" t="n">
        <f>HYPERLINK("https://globaldossier.uspto.gov/result/application/US/15664776/1","US20180062197")</f>
        <v>0.0</v>
      </c>
      <c r="M164" t="s">
        <v>1095</v>
      </c>
      <c r="N164" t="s">
        <v>283</v>
      </c>
      <c r="O164" t="s">
        <v>284</v>
      </c>
      <c r="P164" t="s">
        <v>285</v>
      </c>
      <c r="Q164" s="3" t="n">
        <v>42947.0</v>
      </c>
      <c r="R164" s="3" t="n">
        <v>43160.0</v>
      </c>
      <c r="S164" s="3" t="n">
        <v>43796.00109486111</v>
      </c>
      <c r="T164" s="3" t="n">
        <v>43789.505789097224</v>
      </c>
      <c r="U164" t="s">
        <v>1096</v>
      </c>
      <c r="V164" t="s">
        <v>1097</v>
      </c>
    </row>
    <row r="165">
      <c r="A165" t="s">
        <v>22</v>
      </c>
      <c r="B165" t="s">
        <v>1098</v>
      </c>
      <c r="C165" t="s">
        <v>168</v>
      </c>
      <c r="D165" t="s">
        <v>168</v>
      </c>
      <c r="E165" t="s">
        <v>1078</v>
      </c>
      <c r="F165" s="2" t="n">
        <f>HYPERLINK("https://patents.google.com/patent/US20180053919","Google")</f>
        <v>0.0</v>
      </c>
      <c r="G165" s="2" t="n">
        <f>HYPERLINK("https://patentcenter.uspto.gov/applications/15720270","Patent Center")</f>
        <v>0.0</v>
      </c>
      <c r="H165" s="2" t="n">
        <f>HYPERLINK("https://worldwide.espacenet.com/patent/search?q=US20180053919","Espacenet")</f>
        <v>0.0</v>
      </c>
      <c r="I165" s="2" t="n">
        <f>HYPERLINK("https://ppubs.uspto.gov/pubwebapp/external.html?q=20180053919.pn.","USPTO")</f>
        <v>0.0</v>
      </c>
      <c r="J165" s="2" t="n">
        <f>HYPERLINK("https://image-ppubs.uspto.gov/dirsearch-public/print/downloadPdf/20180053919","USPTO PDF")</f>
        <v>0.0</v>
      </c>
      <c r="K165" s="2" t="n">
        <f>HYPERLINK("https://sectors.patentforecast.com/pmd/US20180053919","PMD")</f>
        <v>0.0</v>
      </c>
      <c r="L165" s="2" t="n">
        <f>HYPERLINK("https://globaldossier.uspto.gov/result/application/US/15720270/1","US20180053919")</f>
        <v>0.0</v>
      </c>
      <c r="M165" t="s">
        <v>1099</v>
      </c>
      <c r="N165" t="s">
        <v>283</v>
      </c>
      <c r="O165" t="s">
        <v>284</v>
      </c>
      <c r="P165" t="s">
        <v>285</v>
      </c>
      <c r="Q165" s="3" t="n">
        <v>43007.0</v>
      </c>
      <c r="R165" s="3" t="n">
        <v>43153.0</v>
      </c>
      <c r="S165" s="3" t="n">
        <v>43789.47362791667</v>
      </c>
      <c r="T165" s="3" t="n">
        <v>43789.49051125</v>
      </c>
      <c r="U165" t="s">
        <v>1100</v>
      </c>
      <c r="V165" t="s">
        <v>1081</v>
      </c>
    </row>
    <row r="166">
      <c r="A166" t="s">
        <v>22</v>
      </c>
      <c r="B166" t="s">
        <v>1101</v>
      </c>
      <c r="C166" t="s">
        <v>168</v>
      </c>
      <c r="D166" t="s">
        <v>168</v>
      </c>
      <c r="E166" t="s">
        <v>1102</v>
      </c>
      <c r="F166" s="2" t="n">
        <f>HYPERLINK("https://patents.google.com/patent/US20180041047","Google")</f>
        <v>0.0</v>
      </c>
      <c r="G166" s="2" t="n">
        <f>HYPERLINK("https://patentcenter.uspto.gov/applications/15784124","Patent Center")</f>
        <v>0.0</v>
      </c>
      <c r="H166" s="2" t="n">
        <f>HYPERLINK("https://worldwide.espacenet.com/patent/search?q=US20180041047","Espacenet")</f>
        <v>0.0</v>
      </c>
      <c r="I166" s="2" t="n">
        <f>HYPERLINK("https://ppubs.uspto.gov/pubwebapp/external.html?q=20180041047.pn.","USPTO")</f>
        <v>0.0</v>
      </c>
      <c r="J166" s="2" t="n">
        <f>HYPERLINK("https://image-ppubs.uspto.gov/dirsearch-public/print/downloadPdf/20180041047","USPTO PDF")</f>
        <v>0.0</v>
      </c>
      <c r="K166" s="2" t="n">
        <f>HYPERLINK("https://sectors.patentforecast.com/pmd/US20180041047","PMD")</f>
        <v>0.0</v>
      </c>
      <c r="L166" s="2" t="n">
        <f>HYPERLINK("https://globaldossier.uspto.gov/result/application/US/15784124/1","US20180041047")</f>
        <v>0.0</v>
      </c>
      <c r="M166" t="s">
        <v>1103</v>
      </c>
      <c r="N166" t="s">
        <v>345</v>
      </c>
      <c r="O166" t="s">
        <v>346</v>
      </c>
      <c r="P166" t="s">
        <v>1104</v>
      </c>
      <c r="Q166" s="3" t="n">
        <v>43022.0</v>
      </c>
      <c r="R166" s="3" t="n">
        <v>43139.0</v>
      </c>
      <c r="S166" s="3" t="n">
        <v>43796.001094872685</v>
      </c>
      <c r="T166" s="3" t="n">
        <v>43789.69058829861</v>
      </c>
      <c r="U166" t="s">
        <v>1105</v>
      </c>
      <c r="V166" t="s">
        <v>1106</v>
      </c>
    </row>
    <row r="167">
      <c r="A167" t="s">
        <v>22</v>
      </c>
      <c r="B167" t="s">
        <v>1107</v>
      </c>
      <c r="C167" t="s">
        <v>24</v>
      </c>
      <c r="D167" t="s">
        <v>25</v>
      </c>
      <c r="E167" t="s">
        <v>1108</v>
      </c>
      <c r="F167" s="2" t="n">
        <f>HYPERLINK("https://patents.google.com/patent/US20180034162","Google")</f>
        <v>0.0</v>
      </c>
      <c r="G167" s="2" t="n">
        <f>HYPERLINK("https://patentcenter.uspto.gov/applications/15225426","Patent Center")</f>
        <v>0.0</v>
      </c>
      <c r="H167" s="2" t="n">
        <f>HYPERLINK("https://worldwide.espacenet.com/patent/search?q=US20180034162","Espacenet")</f>
        <v>0.0</v>
      </c>
      <c r="I167" s="2" t="n">
        <f>HYPERLINK("https://ppubs.uspto.gov/pubwebapp/external.html?q=20180034162.pn.","USPTO")</f>
        <v>0.0</v>
      </c>
      <c r="J167" s="2" t="n">
        <f>HYPERLINK("https://image-ppubs.uspto.gov/dirsearch-public/print/downloadPdf/20180034162","USPTO PDF")</f>
        <v>0.0</v>
      </c>
      <c r="K167" s="2" t="n">
        <f>HYPERLINK("https://sectors.patentforecast.com/pmd/US20180034162","PMD")</f>
        <v>0.0</v>
      </c>
      <c r="L167" s="2" t="n">
        <f>HYPERLINK("https://globaldossier.uspto.gov/result/application/US/15225426/1","US20180034162")</f>
        <v>0.0</v>
      </c>
      <c r="M167" t="s">
        <v>1109</v>
      </c>
      <c r="N167" t="s">
        <v>1110</v>
      </c>
      <c r="O167" t="s">
        <v>1110</v>
      </c>
      <c r="P167" t="s">
        <v>1111</v>
      </c>
      <c r="Q167" s="3" t="n">
        <v>42583.0</v>
      </c>
      <c r="R167" s="3" t="n">
        <v>43132.0</v>
      </c>
      <c r="S167" s="3" t="n">
        <v>43788.411822546295</v>
      </c>
      <c r="T167" s="3" t="n">
        <v>43789.41053047454</v>
      </c>
      <c r="U167" t="s">
        <v>1112</v>
      </c>
      <c r="V167" t="s">
        <v>1113</v>
      </c>
    </row>
    <row r="168">
      <c r="A168" t="s">
        <v>22</v>
      </c>
      <c r="B168" t="s">
        <v>1114</v>
      </c>
      <c r="C168" t="s">
        <v>168</v>
      </c>
      <c r="D168" t="s">
        <v>168</v>
      </c>
      <c r="E168" t="s">
        <v>786</v>
      </c>
      <c r="F168" s="2" t="n">
        <f>HYPERLINK("https://patents.google.com/patent/US20180027934","Google")</f>
        <v>0.0</v>
      </c>
      <c r="G168" s="2" t="n">
        <f>HYPERLINK("https://patentcenter.uspto.gov/applications/15729609","Patent Center")</f>
        <v>0.0</v>
      </c>
      <c r="H168" s="2" t="n">
        <f>HYPERLINK("https://worldwide.espacenet.com/patent/search?q=US20180027934","Espacenet")</f>
        <v>0.0</v>
      </c>
      <c r="I168" s="2" t="n">
        <f>HYPERLINK("https://ppubs.uspto.gov/pubwebapp/external.html?q=20180027934.pn.","USPTO")</f>
        <v>0.0</v>
      </c>
      <c r="J168" s="2" t="n">
        <f>HYPERLINK("https://image-ppubs.uspto.gov/dirsearch-public/print/downloadPdf/20180027934","USPTO PDF")</f>
        <v>0.0</v>
      </c>
      <c r="K168" s="2" t="n">
        <f>HYPERLINK("https://sectors.patentforecast.com/pmd/US20180027934","PMD")</f>
        <v>0.0</v>
      </c>
      <c r="L168" s="2" t="n">
        <f>HYPERLINK("https://globaldossier.uspto.gov/result/application/US/15729609/1","US20180027934")</f>
        <v>0.0</v>
      </c>
      <c r="M168" t="s">
        <v>1115</v>
      </c>
      <c r="N168" t="s">
        <v>227</v>
      </c>
      <c r="O168" t="s">
        <v>228</v>
      </c>
      <c r="P168" t="s">
        <v>789</v>
      </c>
      <c r="Q168" s="3" t="n">
        <v>43018.0</v>
      </c>
      <c r="R168" s="3" t="n">
        <v>43132.0</v>
      </c>
      <c r="S168" s="3" t="n">
        <v>43832.99058759259</v>
      </c>
      <c r="T168" s="3" t="n">
        <v>43791.43714204861</v>
      </c>
      <c r="U168" t="s">
        <v>1116</v>
      </c>
      <c r="V168" t="s">
        <v>1117</v>
      </c>
    </row>
    <row r="169">
      <c r="A169" t="s">
        <v>22</v>
      </c>
      <c r="B169" t="s">
        <v>1118</v>
      </c>
      <c r="C169" t="s">
        <v>24</v>
      </c>
      <c r="D169" t="s">
        <v>25</v>
      </c>
      <c r="E169" t="s">
        <v>877</v>
      </c>
      <c r="F169" s="2" t="n">
        <f>HYPERLINK("https://patents.google.com/patent/US20180006362","Google")</f>
        <v>0.0</v>
      </c>
      <c r="G169" s="2" t="n">
        <f>HYPERLINK("https://patentcenter.uspto.gov/applications/15708094","Patent Center")</f>
        <v>0.0</v>
      </c>
      <c r="H169" s="2" t="n">
        <f>HYPERLINK("https://worldwide.espacenet.com/patent/search?q=US20180006362","Espacenet")</f>
        <v>0.0</v>
      </c>
      <c r="I169" s="2" t="n">
        <f>HYPERLINK("https://ppubs.uspto.gov/pubwebapp/external.html?q=20180006362.pn.","USPTO")</f>
        <v>0.0</v>
      </c>
      <c r="J169" s="2" t="n">
        <f>HYPERLINK("https://image-ppubs.uspto.gov/dirsearch-public/print/downloadPdf/20180006362","USPTO PDF")</f>
        <v>0.0</v>
      </c>
      <c r="K169" s="2" t="n">
        <f>HYPERLINK("https://sectors.patentforecast.com/pmd/US20180006362","PMD")</f>
        <v>0.0</v>
      </c>
      <c r="L169" s="2" t="n">
        <f>HYPERLINK("https://globaldossier.uspto.gov/result/application/US/15708094/1","US20180006362")</f>
        <v>0.0</v>
      </c>
      <c r="M169" t="s">
        <v>1119</v>
      </c>
      <c r="N169" t="s">
        <v>314</v>
      </c>
      <c r="O169" t="s">
        <v>315</v>
      </c>
      <c r="P169" t="s">
        <v>316</v>
      </c>
      <c r="Q169" s="3" t="n">
        <v>42996.0</v>
      </c>
      <c r="R169" s="3" t="n">
        <v>43104.0</v>
      </c>
      <c r="S169" s="3" t="n">
        <v>43787.40070922454</v>
      </c>
      <c r="T169" s="3" t="n">
        <v>43788.67679730324</v>
      </c>
      <c r="U169" t="s">
        <v>1120</v>
      </c>
      <c r="V169" t="s">
        <v>1121</v>
      </c>
    </row>
    <row r="170">
      <c r="A170" t="s">
        <v>22</v>
      </c>
      <c r="B170" t="s">
        <v>1122</v>
      </c>
      <c r="C170" t="s">
        <v>168</v>
      </c>
      <c r="D170" t="s">
        <v>168</v>
      </c>
      <c r="E170" t="s">
        <v>1123</v>
      </c>
      <c r="F170" s="2" t="n">
        <f>HYPERLINK("https://patents.google.com/patent/US20170365208","Google")</f>
        <v>0.0</v>
      </c>
      <c r="G170" s="2" t="n">
        <f>HYPERLINK("https://patentcenter.uspto.gov/applications/15544688","Patent Center")</f>
        <v>0.0</v>
      </c>
      <c r="H170" s="2" t="n">
        <f>HYPERLINK("https://worldwide.espacenet.com/patent/search?q=US20170365208","Espacenet")</f>
        <v>0.0</v>
      </c>
      <c r="I170" s="2" t="n">
        <f>HYPERLINK("https://ppubs.uspto.gov/pubwebapp/external.html?q=20170365208.pn.","USPTO")</f>
        <v>0.0</v>
      </c>
      <c r="J170" s="2" t="n">
        <f>HYPERLINK("https://image-ppubs.uspto.gov/dirsearch-public/print/downloadPdf/20170365208","USPTO PDF")</f>
        <v>0.0</v>
      </c>
      <c r="K170" s="2" t="n">
        <f>HYPERLINK("https://sectors.patentforecast.com/pmd/US20170365208","PMD")</f>
        <v>0.0</v>
      </c>
      <c r="L170" s="2" t="n">
        <f>HYPERLINK("https://globaldossier.uspto.gov/result/application/US/15544688/1","US20170365208")</f>
        <v>0.0</v>
      </c>
      <c r="M170" t="s">
        <v>1124</v>
      </c>
      <c r="N170" t="s">
        <v>852</v>
      </c>
      <c r="O170" t="s">
        <v>853</v>
      </c>
      <c r="P170" t="s">
        <v>1125</v>
      </c>
      <c r="Q170" s="3" t="n">
        <v>42093.0</v>
      </c>
      <c r="R170" s="3" t="n">
        <v>43090.0</v>
      </c>
      <c r="S170" s="3" t="n">
        <v>43787.46957394676</v>
      </c>
      <c r="T170" s="3" t="n">
        <v>43789.65725877315</v>
      </c>
      <c r="U170" t="s">
        <v>1126</v>
      </c>
      <c r="V170" t="s">
        <v>1127</v>
      </c>
    </row>
    <row r="171">
      <c r="A171" t="s">
        <v>22</v>
      </c>
      <c r="B171" t="s">
        <v>1128</v>
      </c>
      <c r="C171" t="s">
        <v>24</v>
      </c>
      <c r="D171" t="s">
        <v>25</v>
      </c>
      <c r="E171" t="s">
        <v>1129</v>
      </c>
      <c r="F171" s="2" t="n">
        <f>HYPERLINK("https://patents.google.com/patent/US20170352249","Google")</f>
        <v>0.0</v>
      </c>
      <c r="G171" s="2" t="n">
        <f>HYPERLINK("https://patentcenter.uspto.gov/applications/15294892","Patent Center")</f>
        <v>0.0</v>
      </c>
      <c r="H171" s="2" t="n">
        <f>HYPERLINK("https://worldwide.espacenet.com/patent/search?q=US20170352249","Espacenet")</f>
        <v>0.0</v>
      </c>
      <c r="I171" s="2" t="n">
        <f>HYPERLINK("https://ppubs.uspto.gov/pubwebapp/external.html?q=20170352249.pn.","USPTO")</f>
        <v>0.0</v>
      </c>
      <c r="J171" s="2" t="n">
        <f>HYPERLINK("https://image-ppubs.uspto.gov/dirsearch-public/print/downloadPdf/20170352249","USPTO PDF")</f>
        <v>0.0</v>
      </c>
      <c r="K171" s="2" t="n">
        <f>HYPERLINK("https://sectors.patentforecast.com/pmd/US20170352249","PMD")</f>
        <v>0.0</v>
      </c>
      <c r="L171" s="2" t="n">
        <f>HYPERLINK("https://globaldossier.uspto.gov/result/application/US/15294892/1","US20170352249")</f>
        <v>0.0</v>
      </c>
      <c r="M171" t="s">
        <v>1130</v>
      </c>
      <c r="N171" t="s">
        <v>227</v>
      </c>
      <c r="O171" t="s">
        <v>228</v>
      </c>
      <c r="P171" t="s">
        <v>1131</v>
      </c>
      <c r="Q171" s="3" t="n">
        <v>42660.0</v>
      </c>
      <c r="R171" s="3" t="n">
        <v>43076.0</v>
      </c>
      <c r="S171" s="3" t="n">
        <v>43787.479875219906</v>
      </c>
      <c r="T171" s="3" t="n">
        <v>43789.437422476854</v>
      </c>
      <c r="U171" t="s">
        <v>1132</v>
      </c>
      <c r="V171" t="s">
        <v>1133</v>
      </c>
    </row>
    <row r="172">
      <c r="A172" t="s">
        <v>22</v>
      </c>
      <c r="B172" t="s">
        <v>1134</v>
      </c>
      <c r="C172" t="s">
        <v>168</v>
      </c>
      <c r="D172" t="s">
        <v>168</v>
      </c>
      <c r="E172" t="s">
        <v>1135</v>
      </c>
      <c r="F172" s="2" t="n">
        <f>HYPERLINK("https://patents.google.com/patent/US20170350762","Google")</f>
        <v>0.0</v>
      </c>
      <c r="G172" s="2" t="n">
        <f>HYPERLINK("https://patentcenter.uspto.gov/applications/15681329","Patent Center")</f>
        <v>0.0</v>
      </c>
      <c r="H172" s="2" t="n">
        <f>HYPERLINK("https://worldwide.espacenet.com/patent/search?q=US20170350762","Espacenet")</f>
        <v>0.0</v>
      </c>
      <c r="I172" s="2" t="n">
        <f>HYPERLINK("https://ppubs.uspto.gov/pubwebapp/external.html?q=20170350762.pn.","USPTO")</f>
        <v>0.0</v>
      </c>
      <c r="J172" s="2" t="n">
        <f>HYPERLINK("https://image-ppubs.uspto.gov/dirsearch-public/print/downloadPdf/20170350762","USPTO PDF")</f>
        <v>0.0</v>
      </c>
      <c r="K172" s="2" t="n">
        <f>HYPERLINK("https://sectors.patentforecast.com/pmd/US20170350762","PMD")</f>
        <v>0.0</v>
      </c>
      <c r="L172" s="2" t="n">
        <f>HYPERLINK("https://globaldossier.uspto.gov/result/application/US/15681329/1","US20170350762")</f>
        <v>0.0</v>
      </c>
      <c r="M172" t="s">
        <v>1136</v>
      </c>
      <c r="N172" t="s">
        <v>1137</v>
      </c>
      <c r="O172" t="s">
        <v>1138</v>
      </c>
      <c r="P172" t="s">
        <v>1139</v>
      </c>
      <c r="Q172" s="3" t="n">
        <v>42965.0</v>
      </c>
      <c r="R172" s="3" t="n">
        <v>43076.0</v>
      </c>
      <c r="S172" s="3" t="n">
        <v>43796.00109486111</v>
      </c>
      <c r="T172" s="3" t="n">
        <v>43789.4897425463</v>
      </c>
      <c r="U172" t="s">
        <v>1140</v>
      </c>
      <c r="V172" t="s">
        <v>1141</v>
      </c>
    </row>
    <row r="173">
      <c r="A173" t="s">
        <v>22</v>
      </c>
      <c r="B173" t="s">
        <v>1142</v>
      </c>
      <c r="C173" t="s">
        <v>61</v>
      </c>
      <c r="D173" t="s">
        <v>61</v>
      </c>
      <c r="E173" t="s">
        <v>1143</v>
      </c>
      <c r="F173" s="2" t="n">
        <f>HYPERLINK("https://patents.google.com/patent/US20170346542","Google")</f>
        <v>0.0</v>
      </c>
      <c r="G173" s="2" t="n">
        <f>HYPERLINK("https://patentcenter.uspto.gov/applications/15447864","Patent Center")</f>
        <v>0.0</v>
      </c>
      <c r="H173" s="2" t="n">
        <f>HYPERLINK("https://worldwide.espacenet.com/patent/search?q=US20170346542","Espacenet")</f>
        <v>0.0</v>
      </c>
      <c r="I173" s="2" t="n">
        <f>HYPERLINK("https://ppubs.uspto.gov/pubwebapp/external.html?q=20170346542.pn.","USPTO")</f>
        <v>0.0</v>
      </c>
      <c r="J173" s="2" t="n">
        <f>HYPERLINK("https://image-ppubs.uspto.gov/dirsearch-public/print/downloadPdf/20170346542","USPTO PDF")</f>
        <v>0.0</v>
      </c>
      <c r="K173" s="2" t="n">
        <f>HYPERLINK("https://sectors.patentforecast.com/pmd/US20170346542","PMD")</f>
        <v>0.0</v>
      </c>
      <c r="L173" s="2" t="n">
        <f>HYPERLINK("https://globaldossier.uspto.gov/result/application/US/15447864/1","US20170346542")</f>
        <v>0.0</v>
      </c>
      <c r="M173" t="s">
        <v>1144</v>
      </c>
      <c r="N173" t="s">
        <v>687</v>
      </c>
      <c r="O173" t="s">
        <v>688</v>
      </c>
      <c r="P173" t="s">
        <v>1145</v>
      </c>
      <c r="Q173" s="3" t="n">
        <v>42796.0</v>
      </c>
      <c r="R173" s="3" t="n">
        <v>43069.0</v>
      </c>
      <c r="S173" s="3" t="n">
        <v>43832.99058564815</v>
      </c>
      <c r="T173" s="3" t="n">
        <v>43789.576083831016</v>
      </c>
      <c r="U173" t="s">
        <v>1146</v>
      </c>
      <c r="V173" t="s">
        <v>1147</v>
      </c>
    </row>
    <row r="174">
      <c r="A174" t="s">
        <v>22</v>
      </c>
      <c r="B174" t="s">
        <v>1148</v>
      </c>
      <c r="C174" t="s">
        <v>168</v>
      </c>
      <c r="D174" t="s">
        <v>168</v>
      </c>
      <c r="E174" t="s">
        <v>1149</v>
      </c>
      <c r="F174" s="2" t="n">
        <f>HYPERLINK("https://patents.google.com/patent/US20170346307","Google")</f>
        <v>0.0</v>
      </c>
      <c r="G174" s="2" t="n">
        <f>HYPERLINK("https://patentcenter.uspto.gov/applications/15522494","Patent Center")</f>
        <v>0.0</v>
      </c>
      <c r="H174" s="2" t="n">
        <f>HYPERLINK("https://worldwide.espacenet.com/patent/search?q=US20170346307","Espacenet")</f>
        <v>0.0</v>
      </c>
      <c r="I174" s="2" t="n">
        <f>HYPERLINK("https://ppubs.uspto.gov/pubwebapp/external.html?q=20170346307.pn.","USPTO")</f>
        <v>0.0</v>
      </c>
      <c r="J174" s="2" t="n">
        <f>HYPERLINK("https://image-ppubs.uspto.gov/dirsearch-public/print/downloadPdf/20170346307","USPTO PDF")</f>
        <v>0.0</v>
      </c>
      <c r="K174" s="2" t="n">
        <f>HYPERLINK("https://sectors.patentforecast.com/pmd/US20170346307","PMD")</f>
        <v>0.0</v>
      </c>
      <c r="L174" s="2" t="n">
        <f>HYPERLINK("https://globaldossier.uspto.gov/result/application/US/15522494/1","US20170346307")</f>
        <v>0.0</v>
      </c>
      <c r="M174" t="s">
        <v>1150</v>
      </c>
      <c r="N174" t="s">
        <v>852</v>
      </c>
      <c r="O174" t="s">
        <v>853</v>
      </c>
      <c r="P174" t="s">
        <v>1151</v>
      </c>
      <c r="Q174" s="3" t="n">
        <v>42030.0</v>
      </c>
      <c r="R174" s="3" t="n">
        <v>43069.0</v>
      </c>
      <c r="S174" s="3" t="n">
        <v>43787.46957394676</v>
      </c>
      <c r="T174" s="3" t="n">
        <v>43789.65730501158</v>
      </c>
      <c r="U174" t="s">
        <v>1152</v>
      </c>
      <c r="V174" t="s">
        <v>1153</v>
      </c>
    </row>
    <row r="175">
      <c r="A175" t="s">
        <v>22</v>
      </c>
      <c r="B175" t="s">
        <v>1154</v>
      </c>
      <c r="C175" t="s">
        <v>52</v>
      </c>
      <c r="D175" t="s">
        <v>52</v>
      </c>
      <c r="E175" t="s">
        <v>1155</v>
      </c>
      <c r="F175" s="2" t="n">
        <f>HYPERLINK("https://patents.google.com/patent/US20170316677","Google")</f>
        <v>0.0</v>
      </c>
      <c r="G175" s="2" t="n">
        <f>HYPERLINK("https://patentcenter.uspto.gov/applications/15652704","Patent Center")</f>
        <v>0.0</v>
      </c>
      <c r="H175" s="2" t="n">
        <f>HYPERLINK("https://worldwide.espacenet.com/patent/search?q=US20170316677","Espacenet")</f>
        <v>0.0</v>
      </c>
      <c r="I175" s="2" t="n">
        <f>HYPERLINK("https://ppubs.uspto.gov/pubwebapp/external.html?q=20170316677.pn.","USPTO")</f>
        <v>0.0</v>
      </c>
      <c r="J175" s="2" t="n">
        <f>HYPERLINK("https://image-ppubs.uspto.gov/dirsearch-public/print/downloadPdf/20170316677","USPTO PDF")</f>
        <v>0.0</v>
      </c>
      <c r="K175" s="2" t="n">
        <f>HYPERLINK("https://sectors.patentforecast.com/pmd/US20170316677","PMD")</f>
        <v>0.0</v>
      </c>
      <c r="L175" s="2" t="n">
        <f>HYPERLINK("https://globaldossier.uspto.gov/result/application/US/15652704/1","US20170316677")</f>
        <v>0.0</v>
      </c>
      <c r="M175" t="s">
        <v>1156</v>
      </c>
      <c r="N175" t="s">
        <v>1157</v>
      </c>
      <c r="O175" t="s">
        <v>1158</v>
      </c>
      <c r="P175" t="s">
        <v>1159</v>
      </c>
      <c r="Q175" s="3" t="n">
        <v>42934.0</v>
      </c>
      <c r="R175" s="3" t="n">
        <v>43041.0</v>
      </c>
      <c r="S175" s="3" t="n">
        <v>43788.68925228009</v>
      </c>
      <c r="T175" s="3" t="n">
        <v>43789.457582256946</v>
      </c>
      <c r="U175" t="s">
        <v>1160</v>
      </c>
      <c r="V175" t="s">
        <v>1161</v>
      </c>
    </row>
    <row r="176">
      <c r="A176" t="s">
        <v>22</v>
      </c>
      <c r="B176" t="s">
        <v>1162</v>
      </c>
      <c r="C176" t="s">
        <v>24</v>
      </c>
      <c r="D176" t="s">
        <v>25</v>
      </c>
      <c r="E176" t="s">
        <v>1163</v>
      </c>
      <c r="F176" s="2" t="n">
        <f>HYPERLINK("https://patents.google.com/patent/US20170288315","Google")</f>
        <v>0.0</v>
      </c>
      <c r="G176" s="2" t="n">
        <f>HYPERLINK("https://patentcenter.uspto.gov/applications/15622871","Patent Center")</f>
        <v>0.0</v>
      </c>
      <c r="H176" s="2" t="n">
        <f>HYPERLINK("https://worldwide.espacenet.com/patent/search?q=US20170288315","Espacenet")</f>
        <v>0.0</v>
      </c>
      <c r="I176" s="2" t="n">
        <f>HYPERLINK("https://ppubs.uspto.gov/pubwebapp/external.html?q=20170288315.pn.","USPTO")</f>
        <v>0.0</v>
      </c>
      <c r="J176" s="2" t="n">
        <f>HYPERLINK("https://image-ppubs.uspto.gov/dirsearch-public/print/downloadPdf/20170288315","USPTO PDF")</f>
        <v>0.0</v>
      </c>
      <c r="K176" s="2" t="n">
        <f>HYPERLINK("https://sectors.patentforecast.com/pmd/US20170288315","PMD")</f>
        <v>0.0</v>
      </c>
      <c r="L176" s="2" t="n">
        <f>HYPERLINK("https://globaldossier.uspto.gov/result/application/US/15622871/1","US20170288315")</f>
        <v>0.0</v>
      </c>
      <c r="M176" t="s">
        <v>1164</v>
      </c>
      <c r="N176" t="s">
        <v>227</v>
      </c>
      <c r="O176" t="s">
        <v>228</v>
      </c>
      <c r="P176" t="s">
        <v>197</v>
      </c>
      <c r="Q176" s="3" t="n">
        <v>42900.0</v>
      </c>
      <c r="R176" s="3" t="n">
        <v>43013.0</v>
      </c>
      <c r="S176" s="3" t="n">
        <v>43789.564135266206</v>
      </c>
      <c r="T176" s="3" t="n">
        <v>43789.607672314814</v>
      </c>
      <c r="U176" t="s">
        <v>198</v>
      </c>
      <c r="V176" t="s">
        <v>1165</v>
      </c>
    </row>
    <row r="177">
      <c r="A177" t="s">
        <v>22</v>
      </c>
      <c r="B177" t="s">
        <v>1166</v>
      </c>
      <c r="C177" t="s">
        <v>24</v>
      </c>
      <c r="D177" t="s">
        <v>25</v>
      </c>
      <c r="E177" t="s">
        <v>1167</v>
      </c>
      <c r="F177" s="2" t="n">
        <f>HYPERLINK("https://patents.google.com/patent/US20170280371","Google")</f>
        <v>0.0</v>
      </c>
      <c r="G177" s="2" t="n">
        <f>HYPERLINK("https://patentcenter.uspto.gov/applications/15466261","Patent Center")</f>
        <v>0.0</v>
      </c>
      <c r="H177" s="2" t="n">
        <f>HYPERLINK("https://worldwide.espacenet.com/patent/search?q=US20170280371","Espacenet")</f>
        <v>0.0</v>
      </c>
      <c r="I177" s="2" t="n">
        <f>HYPERLINK("https://ppubs.uspto.gov/pubwebapp/external.html?q=20170280371.pn.","USPTO")</f>
        <v>0.0</v>
      </c>
      <c r="J177" s="2" t="n">
        <f>HYPERLINK("https://image-ppubs.uspto.gov/dirsearch-public/print/downloadPdf/20170280371","USPTO PDF")</f>
        <v>0.0</v>
      </c>
      <c r="K177" s="2" t="n">
        <f>HYPERLINK("https://sectors.patentforecast.com/pmd/US20170280371","PMD")</f>
        <v>0.0</v>
      </c>
      <c r="L177" s="2" t="n">
        <f>HYPERLINK("https://globaldossier.uspto.gov/result/application/US/15466261/1","US20170280371")</f>
        <v>0.0</v>
      </c>
      <c r="M177" t="s">
        <v>1168</v>
      </c>
      <c r="N177" t="s">
        <v>1169</v>
      </c>
      <c r="O177" t="s">
        <v>1169</v>
      </c>
      <c r="P177" t="s">
        <v>1170</v>
      </c>
      <c r="Q177" s="3" t="n">
        <v>42816.0</v>
      </c>
      <c r="R177" s="3" t="n">
        <v>43006.0</v>
      </c>
      <c r="S177" s="3" t="n">
        <v>43791.53137885417</v>
      </c>
      <c r="T177" s="3" t="n">
        <v>43791.53496211806</v>
      </c>
      <c r="U177" t="s">
        <v>1171</v>
      </c>
      <c r="V177" t="s">
        <v>1172</v>
      </c>
    </row>
    <row r="178">
      <c r="A178" t="s">
        <v>22</v>
      </c>
      <c r="B178" t="s">
        <v>1173</v>
      </c>
      <c r="C178" t="s">
        <v>168</v>
      </c>
      <c r="D178" t="s">
        <v>168</v>
      </c>
      <c r="E178" t="s">
        <v>1174</v>
      </c>
      <c r="F178" s="2" t="n">
        <f>HYPERLINK("https://patents.google.com/patent/US20170273417","Google")</f>
        <v>0.0</v>
      </c>
      <c r="G178" s="2" t="n">
        <f>HYPERLINK("https://patentcenter.uspto.gov/applications/15618183","Patent Center")</f>
        <v>0.0</v>
      </c>
      <c r="H178" s="2" t="n">
        <f>HYPERLINK("https://worldwide.espacenet.com/patent/search?q=US20170273417","Espacenet")</f>
        <v>0.0</v>
      </c>
      <c r="I178" s="2" t="n">
        <f>HYPERLINK("https://ppubs.uspto.gov/pubwebapp/external.html?q=20170273417.pn.","USPTO")</f>
        <v>0.0</v>
      </c>
      <c r="J178" s="2" t="n">
        <f>HYPERLINK("https://image-ppubs.uspto.gov/dirsearch-public/print/downloadPdf/20170273417","USPTO PDF")</f>
        <v>0.0</v>
      </c>
      <c r="K178" s="2" t="n">
        <f>HYPERLINK("https://sectors.patentforecast.com/pmd/US20170273417","PMD")</f>
        <v>0.0</v>
      </c>
      <c r="L178" s="2" t="n">
        <f>HYPERLINK("https://globaldossier.uspto.gov/result/application/US/15618183/1","US20170273417")</f>
        <v>0.0</v>
      </c>
      <c r="M178" t="s">
        <v>1175</v>
      </c>
      <c r="N178" t="s">
        <v>1176</v>
      </c>
      <c r="O178" t="s">
        <v>1177</v>
      </c>
      <c r="P178" t="s">
        <v>1178</v>
      </c>
      <c r="Q178" s="3" t="n">
        <v>42895.0</v>
      </c>
      <c r="R178" s="3" t="n">
        <v>43006.0</v>
      </c>
      <c r="S178" s="3" t="n">
        <v>43787.46957394676</v>
      </c>
      <c r="T178" s="3" t="n">
        <v>43789.657570752315</v>
      </c>
      <c r="U178" t="s">
        <v>1179</v>
      </c>
      <c r="V178" t="s">
        <v>1180</v>
      </c>
    </row>
    <row r="179">
      <c r="A179" t="s">
        <v>22</v>
      </c>
      <c r="B179" t="s">
        <v>1181</v>
      </c>
      <c r="C179" t="s">
        <v>24</v>
      </c>
      <c r="D179" t="s">
        <v>25</v>
      </c>
      <c r="E179" t="s">
        <v>877</v>
      </c>
      <c r="F179" s="2" t="n">
        <f>HYPERLINK("https://patents.google.com/patent/US20170256844","Google")</f>
        <v>0.0</v>
      </c>
      <c r="G179" s="2" t="n">
        <f>HYPERLINK("https://patentcenter.uspto.gov/applications/15587167","Patent Center")</f>
        <v>0.0</v>
      </c>
      <c r="H179" s="2" t="n">
        <f>HYPERLINK("https://worldwide.espacenet.com/patent/search?q=US20170256844","Espacenet")</f>
        <v>0.0</v>
      </c>
      <c r="I179" s="2" t="n">
        <f>HYPERLINK("https://ppubs.uspto.gov/pubwebapp/external.html?q=20170256844.pn.","USPTO")</f>
        <v>0.0</v>
      </c>
      <c r="J179" s="2" t="n">
        <f>HYPERLINK("https://image-ppubs.uspto.gov/dirsearch-public/print/downloadPdf/20170256844","USPTO PDF")</f>
        <v>0.0</v>
      </c>
      <c r="K179" s="2" t="n">
        <f>HYPERLINK("https://sectors.patentforecast.com/pmd/US20170256844","PMD")</f>
        <v>0.0</v>
      </c>
      <c r="L179" s="2" t="n">
        <f>HYPERLINK("https://globaldossier.uspto.gov/result/application/US/15587167/1","US20170256844")</f>
        <v>0.0</v>
      </c>
      <c r="M179" t="s">
        <v>1182</v>
      </c>
      <c r="N179" t="s">
        <v>314</v>
      </c>
      <c r="O179" t="s">
        <v>315</v>
      </c>
      <c r="P179" t="s">
        <v>316</v>
      </c>
      <c r="Q179" s="3" t="n">
        <v>42859.0</v>
      </c>
      <c r="R179" s="3" t="n">
        <v>42985.0</v>
      </c>
      <c r="S179" s="3" t="n">
        <v>43787.40070922454</v>
      </c>
      <c r="T179" s="3" t="n">
        <v>43788.67679730324</v>
      </c>
      <c r="U179" t="s">
        <v>1183</v>
      </c>
      <c r="V179" t="s">
        <v>1184</v>
      </c>
    </row>
    <row r="180">
      <c r="A180" t="s">
        <v>22</v>
      </c>
      <c r="B180" t="s">
        <v>1185</v>
      </c>
      <c r="C180" t="s">
        <v>52</v>
      </c>
      <c r="D180" t="s">
        <v>52</v>
      </c>
      <c r="E180" t="s">
        <v>1186</v>
      </c>
      <c r="F180" s="2" t="n">
        <f>HYPERLINK("https://patents.google.com/patent/US20170235010","Google")</f>
        <v>0.0</v>
      </c>
      <c r="G180" s="2" t="n">
        <f>HYPERLINK("https://patentcenter.uspto.gov/applications/15345421","Patent Center")</f>
        <v>0.0</v>
      </c>
      <c r="H180" s="2" t="n">
        <f>HYPERLINK("https://worldwide.espacenet.com/patent/search?q=US20170235010","Espacenet")</f>
        <v>0.0</v>
      </c>
      <c r="I180" s="2" t="n">
        <f>HYPERLINK("https://ppubs.uspto.gov/pubwebapp/external.html?q=20170235010.pn.","USPTO")</f>
        <v>0.0</v>
      </c>
      <c r="J180" s="2" t="n">
        <f>HYPERLINK("https://image-ppubs.uspto.gov/dirsearch-public/print/downloadPdf/20170235010","USPTO PDF")</f>
        <v>0.0</v>
      </c>
      <c r="K180" s="2" t="n">
        <f>HYPERLINK("https://sectors.patentforecast.com/pmd/US20170235010","PMD")</f>
        <v>0.0</v>
      </c>
      <c r="L180" s="2" t="n">
        <f>HYPERLINK("https://globaldossier.uspto.gov/result/application/US/15345421/1","US20170235010")</f>
        <v>0.0</v>
      </c>
      <c r="M180" t="s">
        <v>1187</v>
      </c>
      <c r="N180" t="s">
        <v>1188</v>
      </c>
      <c r="O180" t="s">
        <v>1189</v>
      </c>
      <c r="P180" t="s">
        <v>1190</v>
      </c>
      <c r="Q180" s="3" t="n">
        <v>42681.0</v>
      </c>
      <c r="R180" s="3" t="n">
        <v>42964.0</v>
      </c>
      <c r="S180" s="3" t="n">
        <v>43788.41194168982</v>
      </c>
      <c r="T180" s="3" t="n">
        <v>43789.407652141206</v>
      </c>
      <c r="U180" t="s">
        <v>1191</v>
      </c>
      <c r="V180" t="s">
        <v>1192</v>
      </c>
    </row>
    <row r="181">
      <c r="A181" t="s">
        <v>22</v>
      </c>
      <c r="B181" t="s">
        <v>1193</v>
      </c>
      <c r="C181" t="s">
        <v>52</v>
      </c>
      <c r="D181" t="s">
        <v>52</v>
      </c>
      <c r="E181" t="s">
        <v>1194</v>
      </c>
      <c r="F181" s="2" t="n">
        <f>HYPERLINK("https://patents.google.com/patent/US20170230907","Google")</f>
        <v>0.0</v>
      </c>
      <c r="G181" s="2" t="n">
        <f>HYPERLINK("https://patentcenter.uspto.gov/applications/15423512","Patent Center")</f>
        <v>0.0</v>
      </c>
      <c r="H181" s="2" t="n">
        <f>HYPERLINK("https://worldwide.espacenet.com/patent/search?q=US20170230907","Espacenet")</f>
        <v>0.0</v>
      </c>
      <c r="I181" s="2" t="n">
        <f>HYPERLINK("https://ppubs.uspto.gov/pubwebapp/external.html?q=20170230907.pn.","USPTO")</f>
        <v>0.0</v>
      </c>
      <c r="J181" s="2" t="n">
        <f>HYPERLINK("https://image-ppubs.uspto.gov/dirsearch-public/print/downloadPdf/20170230907","USPTO PDF")</f>
        <v>0.0</v>
      </c>
      <c r="K181" s="2" t="n">
        <f>HYPERLINK("https://sectors.patentforecast.com/pmd/US20170230907","PMD")</f>
        <v>0.0</v>
      </c>
      <c r="L181" s="2" t="n">
        <f>HYPERLINK("https://globaldossier.uspto.gov/result/application/US/15423512/1","US20170230907")</f>
        <v>0.0</v>
      </c>
      <c r="M181" t="s">
        <v>1195</v>
      </c>
      <c r="N181" t="s">
        <v>366</v>
      </c>
      <c r="O181" t="s">
        <v>367</v>
      </c>
      <c r="P181" t="s">
        <v>1196</v>
      </c>
      <c r="Q181" s="3" t="n">
        <v>42768.0</v>
      </c>
      <c r="R181" s="3" t="n">
        <v>42957.0</v>
      </c>
      <c r="S181" s="3" t="n">
        <v>43789.564135266206</v>
      </c>
      <c r="T181" s="3" t="n">
        <v>43789.612722638885</v>
      </c>
      <c r="U181" t="s">
        <v>1197</v>
      </c>
      <c r="V181" t="s">
        <v>1000</v>
      </c>
    </row>
    <row r="182">
      <c r="A182" t="s">
        <v>22</v>
      </c>
      <c r="B182" t="s">
        <v>1198</v>
      </c>
      <c r="C182" t="s">
        <v>168</v>
      </c>
      <c r="D182" t="s">
        <v>168</v>
      </c>
      <c r="E182" t="s">
        <v>265</v>
      </c>
      <c r="F182" s="2" t="n">
        <f>HYPERLINK("https://patents.google.com/patent/US20170192474","Google")</f>
        <v>0.0</v>
      </c>
      <c r="G182" s="2" t="n">
        <f>HYPERLINK("https://patentcenter.uspto.gov/applications/15463525","Patent Center")</f>
        <v>0.0</v>
      </c>
      <c r="H182" s="2" t="n">
        <f>HYPERLINK("https://worldwide.espacenet.com/patent/search?q=US20170192474","Espacenet")</f>
        <v>0.0</v>
      </c>
      <c r="I182" s="2" t="n">
        <f>HYPERLINK("https://ppubs.uspto.gov/pubwebapp/external.html?q=20170192474.pn.","USPTO")</f>
        <v>0.0</v>
      </c>
      <c r="J182" s="2" t="n">
        <f>HYPERLINK("https://image-ppubs.uspto.gov/dirsearch-public/print/downloadPdf/20170192474","USPTO PDF")</f>
        <v>0.0</v>
      </c>
      <c r="K182" s="2" t="n">
        <f>HYPERLINK("https://sectors.patentforecast.com/pmd/US20170192474","PMD")</f>
        <v>0.0</v>
      </c>
      <c r="L182" s="2" t="n">
        <f>HYPERLINK("https://globaldossier.uspto.gov/result/application/US/15463525/1","US20170192474")</f>
        <v>0.0</v>
      </c>
      <c r="M182" t="s">
        <v>1199</v>
      </c>
      <c r="N182" t="s">
        <v>1200</v>
      </c>
      <c r="O182" t="s">
        <v>1201</v>
      </c>
      <c r="P182" t="s">
        <v>269</v>
      </c>
      <c r="Q182" s="3" t="n">
        <v>42814.0</v>
      </c>
      <c r="R182" s="3" t="n">
        <v>42922.0</v>
      </c>
      <c r="S182" s="3" t="n">
        <v>43789.47362791667</v>
      </c>
      <c r="T182" s="3" t="n">
        <v>43789.56603515046</v>
      </c>
      <c r="U182" t="s">
        <v>1202</v>
      </c>
      <c r="V182" t="s">
        <v>1203</v>
      </c>
    </row>
    <row r="183">
      <c r="A183" t="s">
        <v>22</v>
      </c>
      <c r="B183" t="s">
        <v>1204</v>
      </c>
      <c r="C183" t="s">
        <v>24</v>
      </c>
      <c r="D183" t="s">
        <v>25</v>
      </c>
      <c r="E183" t="s">
        <v>1083</v>
      </c>
      <c r="F183" s="2" t="n">
        <f>HYPERLINK("https://patents.google.com/patent/US20170187471","Google")</f>
        <v>0.0</v>
      </c>
      <c r="G183" s="2" t="n">
        <f>HYPERLINK("https://patentcenter.uspto.gov/applications/15304892","Patent Center")</f>
        <v>0.0</v>
      </c>
      <c r="H183" s="2" t="n">
        <f>HYPERLINK("https://worldwide.espacenet.com/patent/search?q=US20170187471","Espacenet")</f>
        <v>0.0</v>
      </c>
      <c r="I183" s="2" t="n">
        <f>HYPERLINK("https://ppubs.uspto.gov/pubwebapp/external.html?q=20170187471.pn.","USPTO")</f>
        <v>0.0</v>
      </c>
      <c r="J183" s="2" t="n">
        <f>HYPERLINK("https://image-ppubs.uspto.gov/dirsearch-public/print/downloadPdf/20170187471","USPTO PDF")</f>
        <v>0.0</v>
      </c>
      <c r="K183" s="2" t="n">
        <f>HYPERLINK("https://sectors.patentforecast.com/pmd/US20170187471","PMD")</f>
        <v>0.0</v>
      </c>
      <c r="L183" s="2" t="n">
        <f>HYPERLINK("https://globaldossier.uspto.gov/result/application/US/15304892/1","US20170187471")</f>
        <v>0.0</v>
      </c>
      <c r="M183" t="s">
        <v>1205</v>
      </c>
      <c r="N183" t="s">
        <v>1085</v>
      </c>
      <c r="O183" t="s">
        <v>1086</v>
      </c>
      <c r="P183" t="s">
        <v>1087</v>
      </c>
      <c r="Q183" s="3" t="n">
        <v>42118.0</v>
      </c>
      <c r="R183" s="3" t="n">
        <v>42915.0</v>
      </c>
      <c r="S183" s="3" t="n">
        <v>43787.41172553241</v>
      </c>
      <c r="T183" s="3" t="n">
        <v>43789.405286354166</v>
      </c>
      <c r="U183" t="s">
        <v>1206</v>
      </c>
      <c r="V183" t="s">
        <v>1207</v>
      </c>
    </row>
    <row r="184">
      <c r="A184" t="s">
        <v>22</v>
      </c>
      <c r="B184" t="s">
        <v>1208</v>
      </c>
      <c r="C184" t="s">
        <v>24</v>
      </c>
      <c r="D184" t="s">
        <v>25</v>
      </c>
      <c r="E184" t="s">
        <v>1209</v>
      </c>
      <c r="F184" s="2" t="n">
        <f>HYPERLINK("https://patents.google.com/patent/US20170117733","Google")</f>
        <v>0.0</v>
      </c>
      <c r="G184" s="2" t="n">
        <f>HYPERLINK("https://patentcenter.uspto.gov/applications/15196361","Patent Center")</f>
        <v>0.0</v>
      </c>
      <c r="H184" s="2" t="n">
        <f>HYPERLINK("https://worldwide.espacenet.com/patent/search?q=US20170117733","Espacenet")</f>
        <v>0.0</v>
      </c>
      <c r="I184" s="2" t="n">
        <f>HYPERLINK("https://ppubs.uspto.gov/pubwebapp/external.html?q=20170117733.pn.","USPTO")</f>
        <v>0.0</v>
      </c>
      <c r="J184" s="2" t="n">
        <f>HYPERLINK("https://image-ppubs.uspto.gov/dirsearch-public/print/downloadPdf/20170117733","USPTO PDF")</f>
        <v>0.0</v>
      </c>
      <c r="K184" s="2" t="n">
        <f>HYPERLINK("https://sectors.patentforecast.com/pmd/US20170117733","PMD")</f>
        <v>0.0</v>
      </c>
      <c r="L184" s="2" t="n">
        <f>HYPERLINK("https://globaldossier.uspto.gov/result/application/US/15196361/1","US20170117733")</f>
        <v>0.0</v>
      </c>
      <c r="M184" t="s">
        <v>1210</v>
      </c>
      <c r="N184" t="s">
        <v>1211</v>
      </c>
      <c r="O184" t="s">
        <v>1212</v>
      </c>
      <c r="P184" t="s">
        <v>1213</v>
      </c>
      <c r="Q184" s="3" t="n">
        <v>42550.0</v>
      </c>
      <c r="R184" s="3" t="n">
        <v>42852.0</v>
      </c>
      <c r="S184" s="3" t="n">
        <v>43789.47386359954</v>
      </c>
      <c r="T184" s="3" t="n">
        <v>43789.56473951389</v>
      </c>
      <c r="U184" t="s">
        <v>1214</v>
      </c>
      <c r="V184" t="s">
        <v>1215</v>
      </c>
    </row>
    <row r="185">
      <c r="A185" t="s">
        <v>22</v>
      </c>
      <c r="B185" t="s">
        <v>1216</v>
      </c>
      <c r="C185" t="s">
        <v>168</v>
      </c>
      <c r="D185" t="s">
        <v>168</v>
      </c>
      <c r="E185" t="s">
        <v>1217</v>
      </c>
      <c r="F185" s="2" t="n">
        <f>HYPERLINK("https://patents.google.com/patent/US20170085127","Google")</f>
        <v>0.0</v>
      </c>
      <c r="G185" s="2" t="n">
        <f>HYPERLINK("https://patentcenter.uspto.gov/applications/14861246","Patent Center")</f>
        <v>0.0</v>
      </c>
      <c r="H185" s="2" t="n">
        <f>HYPERLINK("https://worldwide.espacenet.com/patent/search?q=US20170085127","Espacenet")</f>
        <v>0.0</v>
      </c>
      <c r="I185" s="2" t="n">
        <f>HYPERLINK("https://ppubs.uspto.gov/pubwebapp/external.html?q=20170085127.pn.","USPTO")</f>
        <v>0.0</v>
      </c>
      <c r="J185" s="2" t="n">
        <f>HYPERLINK("https://image-ppubs.uspto.gov/dirsearch-public/print/downloadPdf/20170085127","USPTO PDF")</f>
        <v>0.0</v>
      </c>
      <c r="K185" s="2" t="n">
        <f>HYPERLINK("https://sectors.patentforecast.com/pmd/US20170085127","PMD")</f>
        <v>0.0</v>
      </c>
      <c r="L185" s="2" t="n">
        <f>HYPERLINK("https://globaldossier.uspto.gov/result/application/US/14861246/1","US20170085127")</f>
        <v>0.0</v>
      </c>
      <c r="M185" t="s">
        <v>1218</v>
      </c>
      <c r="N185" t="s">
        <v>1032</v>
      </c>
      <c r="O185" t="s">
        <v>1033</v>
      </c>
      <c r="P185" t="s">
        <v>1034</v>
      </c>
      <c r="Q185" s="3" t="n">
        <v>42269.0</v>
      </c>
      <c r="R185" s="3" t="n">
        <v>42817.0</v>
      </c>
      <c r="S185" s="3" t="n">
        <v>43788.41194168982</v>
      </c>
      <c r="T185" s="3" t="n">
        <v>43789.43948488426</v>
      </c>
      <c r="U185" t="s">
        <v>1219</v>
      </c>
      <c r="V185" t="s">
        <v>1220</v>
      </c>
    </row>
    <row r="186">
      <c r="A186" t="s">
        <v>22</v>
      </c>
      <c r="B186" t="s">
        <v>1221</v>
      </c>
      <c r="C186" t="s">
        <v>168</v>
      </c>
      <c r="D186" t="s">
        <v>168</v>
      </c>
      <c r="E186" t="s">
        <v>1222</v>
      </c>
      <c r="F186" s="2" t="n">
        <f>HYPERLINK("https://patents.google.com/patent/US20170085126","Google")</f>
        <v>0.0</v>
      </c>
      <c r="G186" s="2" t="n">
        <f>HYPERLINK("https://patentcenter.uspto.gov/applications/14860991","Patent Center")</f>
        <v>0.0</v>
      </c>
      <c r="H186" s="2" t="n">
        <f>HYPERLINK("https://worldwide.espacenet.com/patent/search?q=US20170085126","Espacenet")</f>
        <v>0.0</v>
      </c>
      <c r="I186" s="2" t="n">
        <f>HYPERLINK("https://ppubs.uspto.gov/pubwebapp/external.html?q=20170085126.pn.","USPTO")</f>
        <v>0.0</v>
      </c>
      <c r="J186" s="2" t="n">
        <f>HYPERLINK("https://image-ppubs.uspto.gov/dirsearch-public/print/downloadPdf/20170085126","USPTO PDF")</f>
        <v>0.0</v>
      </c>
      <c r="K186" s="2" t="n">
        <f>HYPERLINK("https://sectors.patentforecast.com/pmd/US20170085126","PMD")</f>
        <v>0.0</v>
      </c>
      <c r="L186" s="2" t="n">
        <f>HYPERLINK("https://globaldossier.uspto.gov/result/application/US/14860991/1","US20170085126")</f>
        <v>0.0</v>
      </c>
      <c r="M186" t="s">
        <v>1223</v>
      </c>
      <c r="N186" t="s">
        <v>1032</v>
      </c>
      <c r="O186" t="s">
        <v>1033</v>
      </c>
      <c r="P186" t="s">
        <v>1034</v>
      </c>
      <c r="Q186" s="3" t="n">
        <v>42269.0</v>
      </c>
      <c r="R186" s="3" t="n">
        <v>42817.0</v>
      </c>
      <c r="S186" s="3" t="n">
        <v>43788.41194168982</v>
      </c>
      <c r="T186" s="3" t="n">
        <v>43789.44771190972</v>
      </c>
      <c r="U186" t="s">
        <v>1224</v>
      </c>
      <c r="V186" t="s">
        <v>1220</v>
      </c>
    </row>
    <row r="187">
      <c r="A187" t="s">
        <v>22</v>
      </c>
      <c r="B187" t="s">
        <v>1225</v>
      </c>
      <c r="C187" t="s">
        <v>168</v>
      </c>
      <c r="D187" t="s">
        <v>168</v>
      </c>
      <c r="E187" t="s">
        <v>1226</v>
      </c>
      <c r="F187" s="2" t="n">
        <f>HYPERLINK("https://patents.google.com/patent/US20170085120","Google")</f>
        <v>0.0</v>
      </c>
      <c r="G187" s="2" t="n">
        <f>HYPERLINK("https://patentcenter.uspto.gov/applications/14861285","Patent Center")</f>
        <v>0.0</v>
      </c>
      <c r="H187" s="2" t="n">
        <f>HYPERLINK("https://worldwide.espacenet.com/patent/search?q=US20170085120","Espacenet")</f>
        <v>0.0</v>
      </c>
      <c r="I187" s="2" t="n">
        <f>HYPERLINK("https://ppubs.uspto.gov/pubwebapp/external.html?q=20170085120.pn.","USPTO")</f>
        <v>0.0</v>
      </c>
      <c r="J187" s="2" t="n">
        <f>HYPERLINK("https://image-ppubs.uspto.gov/dirsearch-public/print/downloadPdf/20170085120","USPTO PDF")</f>
        <v>0.0</v>
      </c>
      <c r="K187" s="2" t="n">
        <f>HYPERLINK("https://sectors.patentforecast.com/pmd/US20170085120","PMD")</f>
        <v>0.0</v>
      </c>
      <c r="L187" s="2" t="n">
        <f>HYPERLINK("https://globaldossier.uspto.gov/result/application/US/14861285/1","US20170085120")</f>
        <v>0.0</v>
      </c>
      <c r="M187" t="s">
        <v>1227</v>
      </c>
      <c r="N187" t="s">
        <v>1032</v>
      </c>
      <c r="O187" t="s">
        <v>1033</v>
      </c>
      <c r="P187" t="s">
        <v>1228</v>
      </c>
      <c r="Q187" s="3" t="n">
        <v>42269.0</v>
      </c>
      <c r="R187" s="3" t="n">
        <v>42817.0</v>
      </c>
      <c r="S187" s="3" t="n">
        <v>43788.41194168982</v>
      </c>
      <c r="T187" s="3" t="n">
        <v>43789.43800039352</v>
      </c>
      <c r="U187" t="s">
        <v>1229</v>
      </c>
      <c r="V187" t="s">
        <v>1220</v>
      </c>
    </row>
    <row r="188">
      <c r="A188" t="s">
        <v>22</v>
      </c>
      <c r="B188" t="s">
        <v>1230</v>
      </c>
      <c r="C188" t="s">
        <v>52</v>
      </c>
      <c r="D188" t="s">
        <v>52</v>
      </c>
      <c r="E188" t="s">
        <v>1231</v>
      </c>
      <c r="F188" s="2" t="n">
        <f>HYPERLINK("https://patents.google.com/patent/US20170085112","Google")</f>
        <v>0.0</v>
      </c>
      <c r="G188" s="2" t="n">
        <f>HYPERLINK("https://patentcenter.uspto.gov/applications/14860824","Patent Center")</f>
        <v>0.0</v>
      </c>
      <c r="H188" s="2" t="n">
        <f>HYPERLINK("https://worldwide.espacenet.com/patent/search?q=US20170085112","Espacenet")</f>
        <v>0.0</v>
      </c>
      <c r="I188" s="2" t="n">
        <f>HYPERLINK("https://ppubs.uspto.gov/pubwebapp/external.html?q=20170085112.pn.","USPTO")</f>
        <v>0.0</v>
      </c>
      <c r="J188" s="2" t="n">
        <f>HYPERLINK("https://image-ppubs.uspto.gov/dirsearch-public/print/downloadPdf/20170085112","USPTO PDF")</f>
        <v>0.0</v>
      </c>
      <c r="K188" s="2" t="n">
        <f>HYPERLINK("https://sectors.patentforecast.com/pmd/US20170085112","PMD")</f>
        <v>0.0</v>
      </c>
      <c r="L188" s="2" t="n">
        <f>HYPERLINK("https://globaldossier.uspto.gov/result/application/US/14860824/1","US20170085112")</f>
        <v>0.0</v>
      </c>
      <c r="M188" t="s">
        <v>1031</v>
      </c>
      <c r="N188" t="s">
        <v>1032</v>
      </c>
      <c r="O188" t="s">
        <v>1033</v>
      </c>
      <c r="P188" t="s">
        <v>1034</v>
      </c>
      <c r="Q188" s="3" t="n">
        <v>42269.0</v>
      </c>
      <c r="R188" s="3" t="n">
        <v>42817.0</v>
      </c>
      <c r="S188" s="3" t="n">
        <v>43788.41194168982</v>
      </c>
      <c r="T188" s="3" t="n">
        <v>43789.403616400465</v>
      </c>
      <c r="U188" t="s">
        <v>1232</v>
      </c>
      <c r="V188" t="s">
        <v>1220</v>
      </c>
    </row>
    <row r="189">
      <c r="A189" t="s">
        <v>22</v>
      </c>
      <c r="B189" t="s">
        <v>1233</v>
      </c>
      <c r="C189" t="s">
        <v>168</v>
      </c>
      <c r="D189" t="s">
        <v>168</v>
      </c>
      <c r="E189" t="s">
        <v>1234</v>
      </c>
      <c r="F189" s="2" t="n">
        <f>HYPERLINK("https://patents.google.com/patent/US20170077736","Google")</f>
        <v>0.0</v>
      </c>
      <c r="G189" s="2" t="n">
        <f>HYPERLINK("https://patentcenter.uspto.gov/applications/14856337","Patent Center")</f>
        <v>0.0</v>
      </c>
      <c r="H189" s="2" t="n">
        <f>HYPERLINK("https://worldwide.espacenet.com/patent/search?q=US20170077736","Espacenet")</f>
        <v>0.0</v>
      </c>
      <c r="I189" s="2" t="n">
        <f>HYPERLINK("https://ppubs.uspto.gov/pubwebapp/external.html?q=20170077736.pn.","USPTO")</f>
        <v>0.0</v>
      </c>
      <c r="J189" s="2" t="n">
        <f>HYPERLINK("https://image-ppubs.uspto.gov/dirsearch-public/print/downloadPdf/20170077736","USPTO PDF")</f>
        <v>0.0</v>
      </c>
      <c r="K189" s="2" t="n">
        <f>HYPERLINK("https://sectors.patentforecast.com/pmd/US20170077736","PMD")</f>
        <v>0.0</v>
      </c>
      <c r="L189" s="2" t="n">
        <f>HYPERLINK("https://globaldossier.uspto.gov/result/application/US/14856337/1","US20170077736")</f>
        <v>0.0</v>
      </c>
      <c r="M189" t="s">
        <v>1235</v>
      </c>
      <c r="N189" t="s">
        <v>1032</v>
      </c>
      <c r="O189" t="s">
        <v>1033</v>
      </c>
      <c r="P189" t="s">
        <v>1034</v>
      </c>
      <c r="Q189" s="3" t="n">
        <v>42263.0</v>
      </c>
      <c r="R189" s="3" t="n">
        <v>42810.0</v>
      </c>
      <c r="S189" s="3" t="n">
        <v>43788.41194168982</v>
      </c>
      <c r="T189" s="3" t="n">
        <v>43789.443948252316</v>
      </c>
      <c r="U189" t="s">
        <v>1236</v>
      </c>
      <c r="V189" t="s">
        <v>1220</v>
      </c>
    </row>
    <row r="190">
      <c r="A190" t="s">
        <v>22</v>
      </c>
      <c r="B190" t="s">
        <v>1237</v>
      </c>
      <c r="C190" t="s">
        <v>168</v>
      </c>
      <c r="D190" t="s">
        <v>168</v>
      </c>
      <c r="E190" t="s">
        <v>1238</v>
      </c>
      <c r="F190" s="2" t="n">
        <f>HYPERLINK("https://patents.google.com/patent/US20170077735","Google")</f>
        <v>0.0</v>
      </c>
      <c r="G190" s="2" t="n">
        <f>HYPERLINK("https://patentcenter.uspto.gov/applications/14856186","Patent Center")</f>
        <v>0.0</v>
      </c>
      <c r="H190" s="2" t="n">
        <f>HYPERLINK("https://worldwide.espacenet.com/patent/search?q=US20170077735","Espacenet")</f>
        <v>0.0</v>
      </c>
      <c r="I190" s="2" t="n">
        <f>HYPERLINK("https://ppubs.uspto.gov/pubwebapp/external.html?q=20170077735.pn.","USPTO")</f>
        <v>0.0</v>
      </c>
      <c r="J190" s="2" t="n">
        <f>HYPERLINK("https://image-ppubs.uspto.gov/dirsearch-public/print/downloadPdf/20170077735","USPTO PDF")</f>
        <v>0.0</v>
      </c>
      <c r="K190" s="2" t="n">
        <f>HYPERLINK("https://sectors.patentforecast.com/pmd/US20170077735","PMD")</f>
        <v>0.0</v>
      </c>
      <c r="L190" s="2" t="n">
        <f>HYPERLINK("https://globaldossier.uspto.gov/result/application/US/14856186/1","US20170077735")</f>
        <v>0.0</v>
      </c>
      <c r="M190" t="s">
        <v>1239</v>
      </c>
      <c r="N190" t="s">
        <v>1032</v>
      </c>
      <c r="O190" t="s">
        <v>1033</v>
      </c>
      <c r="P190" t="s">
        <v>1240</v>
      </c>
      <c r="Q190" s="3" t="n">
        <v>42263.0</v>
      </c>
      <c r="R190" s="3" t="n">
        <v>42810.0</v>
      </c>
      <c r="S190" s="3" t="n">
        <v>43788.41194168982</v>
      </c>
      <c r="T190" s="3" t="n">
        <v>43789.445143287034</v>
      </c>
      <c r="U190" t="s">
        <v>1241</v>
      </c>
      <c r="V190" t="s">
        <v>1220</v>
      </c>
    </row>
    <row r="191">
      <c r="A191" t="s">
        <v>22</v>
      </c>
      <c r="B191" t="s">
        <v>1242</v>
      </c>
      <c r="C191" t="s">
        <v>24</v>
      </c>
      <c r="D191" t="s">
        <v>25</v>
      </c>
      <c r="E191" t="s">
        <v>827</v>
      </c>
      <c r="F191" s="2" t="n">
        <f>HYPERLINK("https://patents.google.com/patent/US20170047760","Google")</f>
        <v>0.0</v>
      </c>
      <c r="G191" s="2" t="n">
        <f>HYPERLINK("https://patentcenter.uspto.gov/applications/15335321","Patent Center")</f>
        <v>0.0</v>
      </c>
      <c r="H191" s="2" t="n">
        <f>HYPERLINK("https://worldwide.espacenet.com/patent/search?q=US20170047760","Espacenet")</f>
        <v>0.0</v>
      </c>
      <c r="I191" s="2" t="n">
        <f>HYPERLINK("https://ppubs.uspto.gov/pubwebapp/external.html?q=20170047760.pn.","USPTO")</f>
        <v>0.0</v>
      </c>
      <c r="J191" s="2" t="n">
        <f>HYPERLINK("https://image-ppubs.uspto.gov/dirsearch-public/print/downloadPdf/20170047760","USPTO PDF")</f>
        <v>0.0</v>
      </c>
      <c r="K191" s="2" t="n">
        <f>HYPERLINK("https://sectors.patentforecast.com/pmd/US20170047760","PMD")</f>
        <v>0.0</v>
      </c>
      <c r="L191" s="2" t="n">
        <f>HYPERLINK("https://globaldossier.uspto.gov/result/application/US/15335321/1","US20170047760")</f>
        <v>0.0</v>
      </c>
      <c r="M191" t="s">
        <v>1243</v>
      </c>
      <c r="N191" t="s">
        <v>829</v>
      </c>
      <c r="O191" t="s">
        <v>830</v>
      </c>
      <c r="P191" t="s">
        <v>1244</v>
      </c>
      <c r="Q191" s="3" t="n">
        <v>42669.0</v>
      </c>
      <c r="R191" s="3" t="n">
        <v>42782.0</v>
      </c>
      <c r="S191" s="3" t="n">
        <v>43789.47386359954</v>
      </c>
      <c r="T191" s="3" t="n">
        <v>43789.503206898145</v>
      </c>
      <c r="U191" t="s">
        <v>1245</v>
      </c>
      <c r="V191" t="s">
        <v>1246</v>
      </c>
    </row>
    <row r="192">
      <c r="A192" t="s">
        <v>22</v>
      </c>
      <c r="B192" t="s">
        <v>1247</v>
      </c>
      <c r="C192" t="s">
        <v>24</v>
      </c>
      <c r="D192" t="s">
        <v>25</v>
      </c>
      <c r="E192" t="s">
        <v>1248</v>
      </c>
      <c r="F192" s="2" t="n">
        <f>HYPERLINK("https://patents.google.com/patent/US20170024537","Google")</f>
        <v>0.0</v>
      </c>
      <c r="G192" s="2" t="n">
        <f>HYPERLINK("https://patentcenter.uspto.gov/applications/15218647","Patent Center")</f>
        <v>0.0</v>
      </c>
      <c r="H192" s="2" t="n">
        <f>HYPERLINK("https://worldwide.espacenet.com/patent/search?q=US20170024537","Espacenet")</f>
        <v>0.0</v>
      </c>
      <c r="I192" s="2" t="n">
        <f>HYPERLINK("https://ppubs.uspto.gov/pubwebapp/external.html?q=20170024537.pn.","USPTO")</f>
        <v>0.0</v>
      </c>
      <c r="J192" s="2" t="n">
        <f>HYPERLINK("https://image-ppubs.uspto.gov/dirsearch-public/print/downloadPdf/20170024537","USPTO PDF")</f>
        <v>0.0</v>
      </c>
      <c r="K192" s="2" t="n">
        <f>HYPERLINK("https://sectors.patentforecast.com/pmd/US20170024537","PMD")</f>
        <v>0.0</v>
      </c>
      <c r="L192" s="2" t="n">
        <f>HYPERLINK("https://globaldossier.uspto.gov/result/application/US/15218647/1","US20170024537")</f>
        <v>0.0</v>
      </c>
      <c r="M192" t="s">
        <v>1249</v>
      </c>
      <c r="N192" t="s">
        <v>1250</v>
      </c>
      <c r="O192" t="s">
        <v>1251</v>
      </c>
      <c r="P192" t="s">
        <v>1252</v>
      </c>
      <c r="Q192" s="3" t="n">
        <v>42576.0</v>
      </c>
      <c r="R192" s="3" t="n">
        <v>42761.0</v>
      </c>
      <c r="S192" s="3" t="n">
        <v>43790.72535505787</v>
      </c>
      <c r="T192" s="3" t="n">
        <v>44497.63191899306</v>
      </c>
      <c r="U192" t="s">
        <v>1253</v>
      </c>
      <c r="V192" t="s">
        <v>1254</v>
      </c>
    </row>
    <row r="193">
      <c r="A193" t="s">
        <v>22</v>
      </c>
      <c r="B193" t="s">
        <v>1255</v>
      </c>
      <c r="C193" t="s">
        <v>168</v>
      </c>
      <c r="D193" t="s">
        <v>168</v>
      </c>
      <c r="E193" t="s">
        <v>1256</v>
      </c>
      <c r="F193" s="2" t="n">
        <f>HYPERLINK("https://patents.google.com/patent/US20160350639","Google")</f>
        <v>0.0</v>
      </c>
      <c r="G193" s="2" t="n">
        <f>HYPERLINK("https://patentcenter.uspto.gov/applications/15170621","Patent Center")</f>
        <v>0.0</v>
      </c>
      <c r="H193" s="2" t="n">
        <f>HYPERLINK("https://worldwide.espacenet.com/patent/search?q=US20160350639","Espacenet")</f>
        <v>0.0</v>
      </c>
      <c r="I193" s="2" t="n">
        <f>HYPERLINK("https://ppubs.uspto.gov/pubwebapp/external.html?q=20160350639.pn.","USPTO")</f>
        <v>0.0</v>
      </c>
      <c r="J193" s="2" t="n">
        <f>HYPERLINK("https://image-ppubs.uspto.gov/dirsearch-public/print/downloadPdf/20160350639","USPTO PDF")</f>
        <v>0.0</v>
      </c>
      <c r="K193" s="2" t="n">
        <f>HYPERLINK("https://sectors.patentforecast.com/pmd/US20160350639","PMD")</f>
        <v>0.0</v>
      </c>
      <c r="L193" s="2" t="n">
        <f>HYPERLINK("https://globaldossier.uspto.gov/result/application/US/15170621/1","US20160350639")</f>
        <v>0.0</v>
      </c>
      <c r="M193" t="s">
        <v>1257</v>
      </c>
      <c r="N193" t="s">
        <v>227</v>
      </c>
      <c r="O193" t="s">
        <v>228</v>
      </c>
      <c r="P193" t="s">
        <v>1258</v>
      </c>
      <c r="Q193" s="3" t="n">
        <v>42522.0</v>
      </c>
      <c r="R193" s="3" t="n">
        <v>42705.0</v>
      </c>
      <c r="S193" s="3" t="n">
        <v>43832.98676299769</v>
      </c>
      <c r="T193" s="3" t="n">
        <v>43789.436741909725</v>
      </c>
      <c r="U193" t="s">
        <v>1259</v>
      </c>
      <c r="V193" t="s">
        <v>1260</v>
      </c>
    </row>
    <row r="194">
      <c r="A194" t="s">
        <v>22</v>
      </c>
      <c r="B194" t="s">
        <v>1261</v>
      </c>
      <c r="C194" t="s">
        <v>168</v>
      </c>
      <c r="D194" t="s">
        <v>168</v>
      </c>
      <c r="E194" t="s">
        <v>1262</v>
      </c>
      <c r="F194" s="2" t="n">
        <f>HYPERLINK("https://patents.google.com/patent/US20160323827","Google")</f>
        <v>0.0</v>
      </c>
      <c r="G194" s="2" t="n">
        <f>HYPERLINK("https://patentcenter.uspto.gov/applications/15108433","Patent Center")</f>
        <v>0.0</v>
      </c>
      <c r="H194" s="2" t="n">
        <f>HYPERLINK("https://worldwide.espacenet.com/patent/search?q=US20160323827","Espacenet")</f>
        <v>0.0</v>
      </c>
      <c r="I194" s="2" t="n">
        <f>HYPERLINK("https://ppubs.uspto.gov/pubwebapp/external.html?q=20160323827.pn.","USPTO")</f>
        <v>0.0</v>
      </c>
      <c r="J194" s="2" t="n">
        <f>HYPERLINK("https://image-ppubs.uspto.gov/dirsearch-public/print/downloadPdf/20160323827","USPTO PDF")</f>
        <v>0.0</v>
      </c>
      <c r="K194" s="2" t="n">
        <f>HYPERLINK("https://sectors.patentforecast.com/pmd/US20160323827","PMD")</f>
        <v>0.0</v>
      </c>
      <c r="L194" s="2" t="n">
        <f>HYPERLINK("https://globaldossier.uspto.gov/result/application/US/15108433/1","US20160323827")</f>
        <v>0.0</v>
      </c>
      <c r="M194" t="s">
        <v>1263</v>
      </c>
      <c r="N194" t="s">
        <v>28</v>
      </c>
      <c r="O194" t="s">
        <v>29</v>
      </c>
      <c r="P194" t="s">
        <v>1264</v>
      </c>
      <c r="Q194" s="3" t="n">
        <v>41774.0</v>
      </c>
      <c r="R194" s="3" t="n">
        <v>42677.0</v>
      </c>
      <c r="S194" s="3" t="n">
        <v>43791.41136021991</v>
      </c>
      <c r="T194" s="3" t="n">
        <v>43791.42119446759</v>
      </c>
      <c r="U194" t="s">
        <v>1265</v>
      </c>
      <c r="V194" t="s">
        <v>1266</v>
      </c>
    </row>
    <row r="195">
      <c r="A195" t="s">
        <v>22</v>
      </c>
      <c r="B195" t="s">
        <v>1267</v>
      </c>
      <c r="C195" t="s">
        <v>24</v>
      </c>
      <c r="D195" t="s">
        <v>25</v>
      </c>
      <c r="E195" t="s">
        <v>1268</v>
      </c>
      <c r="F195" s="2" t="n">
        <f>HYPERLINK("https://patents.google.com/patent/US20160255531","Google")</f>
        <v>0.0</v>
      </c>
      <c r="G195" s="2" t="n">
        <f>HYPERLINK("https://patentcenter.uspto.gov/applications/15091090","Patent Center")</f>
        <v>0.0</v>
      </c>
      <c r="H195" s="2" t="n">
        <f>HYPERLINK("https://worldwide.espacenet.com/patent/search?q=US20160255531","Espacenet")</f>
        <v>0.0</v>
      </c>
      <c r="I195" s="2" t="n">
        <f>HYPERLINK("https://ppubs.uspto.gov/pubwebapp/external.html?q=20160255531.pn.","USPTO")</f>
        <v>0.0</v>
      </c>
      <c r="J195" s="2" t="n">
        <f>HYPERLINK("https://image-ppubs.uspto.gov/dirsearch-public/print/downloadPdf/20160255531","USPTO PDF")</f>
        <v>0.0</v>
      </c>
      <c r="K195" s="2" t="n">
        <f>HYPERLINK("https://sectors.patentforecast.com/pmd/US20160255531","PMD")</f>
        <v>0.0</v>
      </c>
      <c r="L195" s="2" t="n">
        <f>HYPERLINK("https://globaldossier.uspto.gov/result/application/US/15091090/1","US20160255531")</f>
        <v>0.0</v>
      </c>
      <c r="M195" t="s">
        <v>1269</v>
      </c>
      <c r="N195" t="s">
        <v>1019</v>
      </c>
      <c r="O195" t="s">
        <v>1020</v>
      </c>
      <c r="P195" t="s">
        <v>1270</v>
      </c>
      <c r="Q195" s="3" t="n">
        <v>42465.0</v>
      </c>
      <c r="R195" s="3" t="n">
        <v>42614.0</v>
      </c>
      <c r="S195" s="3" t="n">
        <v>43791.42837125</v>
      </c>
      <c r="T195" s="3" t="n">
        <v>43791.429297546296</v>
      </c>
      <c r="U195" t="s">
        <v>1271</v>
      </c>
      <c r="V195" t="s">
        <v>1023</v>
      </c>
    </row>
    <row r="196">
      <c r="A196" t="s">
        <v>22</v>
      </c>
      <c r="B196" t="s">
        <v>1272</v>
      </c>
      <c r="C196" t="s">
        <v>24</v>
      </c>
      <c r="D196" t="s">
        <v>25</v>
      </c>
      <c r="E196" t="s">
        <v>1273</v>
      </c>
      <c r="F196" s="2" t="n">
        <f>HYPERLINK("https://patents.google.com/patent/US20160248736","Google")</f>
        <v>0.0</v>
      </c>
      <c r="G196" s="2" t="n">
        <f>HYPERLINK("https://patentcenter.uspto.gov/applications/15054534","Patent Center")</f>
        <v>0.0</v>
      </c>
      <c r="H196" s="2" t="n">
        <f>HYPERLINK("https://worldwide.espacenet.com/patent/search?q=US20160248736","Espacenet")</f>
        <v>0.0</v>
      </c>
      <c r="I196" s="2" t="n">
        <f>HYPERLINK("https://ppubs.uspto.gov/pubwebapp/external.html?q=20160248736.pn.","USPTO")</f>
        <v>0.0</v>
      </c>
      <c r="J196" s="2" t="n">
        <f>HYPERLINK("https://image-ppubs.uspto.gov/dirsearch-public/print/downloadPdf/20160248736","USPTO PDF")</f>
        <v>0.0</v>
      </c>
      <c r="K196" s="2" t="n">
        <f>HYPERLINK("https://sectors.patentforecast.com/pmd/US20160248736","PMD")</f>
        <v>0.0</v>
      </c>
      <c r="L196" s="2" t="n">
        <f>HYPERLINK("https://globaldossier.uspto.gov/result/application/US/15054534/1","US20160248736")</f>
        <v>0.0</v>
      </c>
      <c r="M196" t="s">
        <v>1274</v>
      </c>
      <c r="N196" t="s">
        <v>1275</v>
      </c>
      <c r="O196" t="s">
        <v>1275</v>
      </c>
      <c r="P196" t="s">
        <v>1276</v>
      </c>
      <c r="Q196" s="3" t="n">
        <v>42426.0</v>
      </c>
      <c r="R196" s="3" t="n">
        <v>42607.0</v>
      </c>
      <c r="S196" s="3" t="n">
        <v>43791.50672763889</v>
      </c>
      <c r="T196" s="3" t="n">
        <v>43791.52428856481</v>
      </c>
      <c r="U196" t="s">
        <v>1277</v>
      </c>
      <c r="V196" t="s">
        <v>1278</v>
      </c>
    </row>
    <row r="197">
      <c r="A197" t="s">
        <v>22</v>
      </c>
      <c r="B197" t="s">
        <v>1279</v>
      </c>
      <c r="C197" t="s">
        <v>24</v>
      </c>
      <c r="D197" t="s">
        <v>25</v>
      </c>
      <c r="E197" t="s">
        <v>1280</v>
      </c>
      <c r="F197" s="2" t="n">
        <f>HYPERLINK("https://patents.google.com/patent/US20160119798","Google")</f>
        <v>0.0</v>
      </c>
      <c r="G197" s="2" t="n">
        <f>HYPERLINK("https://patentcenter.uspto.gov/applications/14923953","Patent Center")</f>
        <v>0.0</v>
      </c>
      <c r="H197" s="2" t="n">
        <f>HYPERLINK("https://worldwide.espacenet.com/patent/search?q=US20160119798","Espacenet")</f>
        <v>0.0</v>
      </c>
      <c r="I197" s="2" t="n">
        <f>HYPERLINK("https://ppubs.uspto.gov/pubwebapp/external.html?q=20160119798.pn.","USPTO")</f>
        <v>0.0</v>
      </c>
      <c r="J197" s="2" t="n">
        <f>HYPERLINK("https://image-ppubs.uspto.gov/dirsearch-public/print/downloadPdf/20160119798","USPTO PDF")</f>
        <v>0.0</v>
      </c>
      <c r="K197" s="2" t="n">
        <f>HYPERLINK("https://sectors.patentforecast.com/pmd/US20160119798","PMD")</f>
        <v>0.0</v>
      </c>
      <c r="L197" s="2" t="n">
        <f>HYPERLINK("https://globaldossier.uspto.gov/result/application/US/14923953/1","US20160119798")</f>
        <v>0.0</v>
      </c>
      <c r="M197" t="s">
        <v>1281</v>
      </c>
      <c r="N197" t="s">
        <v>1063</v>
      </c>
      <c r="O197" t="s">
        <v>1064</v>
      </c>
      <c r="P197" t="s">
        <v>1282</v>
      </c>
      <c r="Q197" s="3" t="n">
        <v>42304.0</v>
      </c>
      <c r="R197" s="3" t="n">
        <v>42488.0</v>
      </c>
      <c r="S197" s="3" t="n">
        <v>43798.00248931713</v>
      </c>
      <c r="T197" s="3" t="n">
        <v>43789.415579872686</v>
      </c>
      <c r="U197" t="s">
        <v>1283</v>
      </c>
      <c r="V197" t="s">
        <v>1284</v>
      </c>
    </row>
    <row r="198">
      <c r="A198" t="s">
        <v>22</v>
      </c>
      <c r="B198" t="s">
        <v>1285</v>
      </c>
      <c r="C198" t="s">
        <v>168</v>
      </c>
      <c r="D198" t="s">
        <v>168</v>
      </c>
      <c r="E198" t="s">
        <v>1286</v>
      </c>
      <c r="F198" s="2" t="n">
        <f>HYPERLINK("https://patents.google.com/patent/US20160087687","Google")</f>
        <v>0.0</v>
      </c>
      <c r="G198" s="2" t="n">
        <f>HYPERLINK("https://patentcenter.uspto.gov/applications/14822587","Patent Center")</f>
        <v>0.0</v>
      </c>
      <c r="H198" s="2" t="n">
        <f>HYPERLINK("https://worldwide.espacenet.com/patent/search?q=US20160087687","Espacenet")</f>
        <v>0.0</v>
      </c>
      <c r="I198" s="2" t="n">
        <f>HYPERLINK("https://ppubs.uspto.gov/pubwebapp/external.html?q=20160087687.pn.","USPTO")</f>
        <v>0.0</v>
      </c>
      <c r="J198" s="2" t="n">
        <f>HYPERLINK("https://image-ppubs.uspto.gov/dirsearch-public/print/downloadPdf/20160087687","USPTO PDF")</f>
        <v>0.0</v>
      </c>
      <c r="K198" s="2" t="n">
        <f>HYPERLINK("https://sectors.patentforecast.com/pmd/US20160087687","PMD")</f>
        <v>0.0</v>
      </c>
      <c r="L198" s="2" t="n">
        <f>HYPERLINK("https://globaldossier.uspto.gov/result/application/US/14822587/1","US20160087687")</f>
        <v>0.0</v>
      </c>
      <c r="M198" t="s">
        <v>1287</v>
      </c>
      <c r="N198" t="s">
        <v>1288</v>
      </c>
      <c r="O198" t="s">
        <v>1289</v>
      </c>
      <c r="P198" t="s">
        <v>1290</v>
      </c>
      <c r="Q198" s="3" t="n">
        <v>42226.0</v>
      </c>
      <c r="R198" s="3" t="n">
        <v>42453.0</v>
      </c>
      <c r="S198" s="3" t="n">
        <v>43789.47386359954</v>
      </c>
      <c r="T198" s="3" t="n">
        <v>43789.48450662037</v>
      </c>
      <c r="U198" t="s">
        <v>1291</v>
      </c>
      <c r="V198" t="s">
        <v>1292</v>
      </c>
    </row>
    <row r="199">
      <c r="A199" t="s">
        <v>22</v>
      </c>
      <c r="B199" t="s">
        <v>1293</v>
      </c>
      <c r="C199" t="s">
        <v>168</v>
      </c>
      <c r="D199" t="s">
        <v>168</v>
      </c>
      <c r="E199" t="s">
        <v>1135</v>
      </c>
      <c r="F199" s="2" t="n">
        <f>HYPERLINK("https://patents.google.com/patent/US20160061663","Google")</f>
        <v>0.0</v>
      </c>
      <c r="G199" s="2" t="n">
        <f>HYPERLINK("https://patentcenter.uspto.gov/applications/14835638","Patent Center")</f>
        <v>0.0</v>
      </c>
      <c r="H199" s="2" t="n">
        <f>HYPERLINK("https://worldwide.espacenet.com/patent/search?q=US20160061663","Espacenet")</f>
        <v>0.0</v>
      </c>
      <c r="I199" s="2" t="n">
        <f>HYPERLINK("https://ppubs.uspto.gov/pubwebapp/external.html?q=20160061663.pn.","USPTO")</f>
        <v>0.0</v>
      </c>
      <c r="J199" s="2" t="n">
        <f>HYPERLINK("https://image-ppubs.uspto.gov/dirsearch-public/print/downloadPdf/20160061663","USPTO PDF")</f>
        <v>0.0</v>
      </c>
      <c r="K199" s="2" t="n">
        <f>HYPERLINK("https://sectors.patentforecast.com/pmd/US20160061663","PMD")</f>
        <v>0.0</v>
      </c>
      <c r="L199" s="2" t="n">
        <f>HYPERLINK("https://globaldossier.uspto.gov/result/application/US/14835638/1","US20160061663")</f>
        <v>0.0</v>
      </c>
      <c r="M199" t="s">
        <v>1294</v>
      </c>
      <c r="N199" t="s">
        <v>1137</v>
      </c>
      <c r="O199" t="s">
        <v>1138</v>
      </c>
      <c r="P199" t="s">
        <v>1139</v>
      </c>
      <c r="Q199" s="3" t="n">
        <v>42241.0</v>
      </c>
      <c r="R199" s="3" t="n">
        <v>42432.0</v>
      </c>
      <c r="S199" s="3" t="n">
        <v>43789.473972719905</v>
      </c>
      <c r="T199" s="3" t="n">
        <v>43789.48977328704</v>
      </c>
      <c r="U199" t="s">
        <v>1140</v>
      </c>
      <c r="V199" t="s">
        <v>1141</v>
      </c>
    </row>
    <row r="200">
      <c r="A200" t="s">
        <v>22</v>
      </c>
      <c r="B200" t="s">
        <v>1295</v>
      </c>
      <c r="C200" t="s">
        <v>24</v>
      </c>
      <c r="D200" t="s">
        <v>25</v>
      </c>
      <c r="E200" t="s">
        <v>827</v>
      </c>
      <c r="F200" s="2" t="n">
        <f>HYPERLINK("https://patents.google.com/patent/US20150288209","Google")</f>
        <v>0.0</v>
      </c>
      <c r="G200" s="2" t="n">
        <f>HYPERLINK("https://patentcenter.uspto.gov/applications/14624510","Patent Center")</f>
        <v>0.0</v>
      </c>
      <c r="H200" s="2" t="n">
        <f>HYPERLINK("https://worldwide.espacenet.com/patent/search?q=US20150288209","Espacenet")</f>
        <v>0.0</v>
      </c>
      <c r="I200" s="2" t="n">
        <f>HYPERLINK("https://ppubs.uspto.gov/pubwebapp/external.html?q=20150288209.pn.","USPTO")</f>
        <v>0.0</v>
      </c>
      <c r="J200" s="2" t="n">
        <f>HYPERLINK("https://image-ppubs.uspto.gov/dirsearch-public/print/downloadPdf/20150288209","USPTO PDF")</f>
        <v>0.0</v>
      </c>
      <c r="K200" s="2" t="n">
        <f>HYPERLINK("https://sectors.patentforecast.com/pmd/US20150288209","PMD")</f>
        <v>0.0</v>
      </c>
      <c r="L200" s="2" t="n">
        <f>HYPERLINK("https://globaldossier.uspto.gov/result/application/US/14624510/1","US20150288209")</f>
        <v>0.0</v>
      </c>
      <c r="M200" t="s">
        <v>1296</v>
      </c>
      <c r="N200" t="s">
        <v>829</v>
      </c>
      <c r="O200" t="s">
        <v>830</v>
      </c>
      <c r="P200" t="s">
        <v>1244</v>
      </c>
      <c r="Q200" s="3" t="n">
        <v>42052.0</v>
      </c>
      <c r="R200" s="3" t="n">
        <v>42285.0</v>
      </c>
      <c r="S200" s="3" t="n">
        <v>43789.47386359954</v>
      </c>
      <c r="T200" s="3" t="n">
        <v>43789.503206898145</v>
      </c>
      <c r="U200" t="s">
        <v>1297</v>
      </c>
      <c r="V200" t="s">
        <v>1246</v>
      </c>
    </row>
    <row r="201">
      <c r="A201" t="s">
        <v>22</v>
      </c>
      <c r="B201" t="s">
        <v>1298</v>
      </c>
      <c r="C201" t="s">
        <v>168</v>
      </c>
      <c r="D201" t="s">
        <v>168</v>
      </c>
      <c r="E201" t="s">
        <v>1299</v>
      </c>
      <c r="F201" s="2" t="n">
        <f>HYPERLINK("https://patents.google.com/patent/US20150257109","Google")</f>
        <v>0.0</v>
      </c>
      <c r="G201" s="2" t="n">
        <f>HYPERLINK("https://patentcenter.uspto.gov/applications/14639771","Patent Center")</f>
        <v>0.0</v>
      </c>
      <c r="H201" s="2" t="n">
        <f>HYPERLINK("https://worldwide.espacenet.com/patent/search?q=US20150257109","Espacenet")</f>
        <v>0.0</v>
      </c>
      <c r="I201" s="2" t="n">
        <f>HYPERLINK("https://ppubs.uspto.gov/pubwebapp/external.html?q=20150257109.pn.","USPTO")</f>
        <v>0.0</v>
      </c>
      <c r="J201" s="2" t="n">
        <f>HYPERLINK("https://image-ppubs.uspto.gov/dirsearch-public/print/downloadPdf/20150257109","USPTO PDF")</f>
        <v>0.0</v>
      </c>
      <c r="K201" s="2" t="n">
        <f>HYPERLINK("https://sectors.patentforecast.com/pmd/US20150257109","PMD")</f>
        <v>0.0</v>
      </c>
      <c r="L201" s="2" t="n">
        <f>HYPERLINK("https://globaldossier.uspto.gov/result/application/US/14639771/1","US20150257109")</f>
        <v>0.0</v>
      </c>
      <c r="M201" t="s">
        <v>1300</v>
      </c>
      <c r="N201" t="s">
        <v>1301</v>
      </c>
      <c r="O201" t="s">
        <v>1302</v>
      </c>
      <c r="P201" t="s">
        <v>1303</v>
      </c>
      <c r="Q201" s="3" t="n">
        <v>42068.0</v>
      </c>
      <c r="R201" s="3" t="n">
        <v>42257.0</v>
      </c>
      <c r="S201" s="3" t="n">
        <v>43789.473972719905</v>
      </c>
      <c r="T201" s="3" t="n">
        <v>43790.38253167824</v>
      </c>
      <c r="U201" t="s">
        <v>1304</v>
      </c>
      <c r="V201" t="s">
        <v>1305</v>
      </c>
    </row>
    <row r="202">
      <c r="A202" t="s">
        <v>22</v>
      </c>
      <c r="B202" t="s">
        <v>1306</v>
      </c>
      <c r="C202" t="s">
        <v>168</v>
      </c>
      <c r="D202" t="s">
        <v>168</v>
      </c>
      <c r="E202" t="s">
        <v>1307</v>
      </c>
      <c r="F202" s="2" t="n">
        <f>HYPERLINK("https://patents.google.com/patent/US20150237567","Google")</f>
        <v>0.0</v>
      </c>
      <c r="G202" s="2" t="n">
        <f>HYPERLINK("https://patentcenter.uspto.gov/applications/14422420","Patent Center")</f>
        <v>0.0</v>
      </c>
      <c r="H202" s="2" t="n">
        <f>HYPERLINK("https://worldwide.espacenet.com/patent/search?q=US20150237567","Espacenet")</f>
        <v>0.0</v>
      </c>
      <c r="I202" s="2" t="n">
        <f>HYPERLINK("https://ppubs.uspto.gov/pubwebapp/external.html?q=20150237567.pn.","USPTO")</f>
        <v>0.0</v>
      </c>
      <c r="J202" s="2" t="n">
        <f>HYPERLINK("https://image-ppubs.uspto.gov/dirsearch-public/print/downloadPdf/20150237567","USPTO PDF")</f>
        <v>0.0</v>
      </c>
      <c r="K202" s="2" t="n">
        <f>HYPERLINK("https://sectors.patentforecast.com/pmd/US20150237567","PMD")</f>
        <v>0.0</v>
      </c>
      <c r="L202" s="2" t="n">
        <f>HYPERLINK("https://globaldossier.uspto.gov/result/application/US/14422420/1","US20150237567")</f>
        <v>0.0</v>
      </c>
      <c r="M202" t="s">
        <v>1308</v>
      </c>
      <c r="N202" t="s">
        <v>28</v>
      </c>
      <c r="O202" t="s">
        <v>29</v>
      </c>
      <c r="P202" t="s">
        <v>1309</v>
      </c>
      <c r="Q202" s="3" t="n">
        <v>41498.0</v>
      </c>
      <c r="R202" s="3" t="n">
        <v>42236.0</v>
      </c>
      <c r="S202" s="3" t="n">
        <v>43791.411481006944</v>
      </c>
      <c r="T202" s="3" t="n">
        <v>43791.42119446759</v>
      </c>
      <c r="U202" t="s">
        <v>1310</v>
      </c>
      <c r="V202" t="s">
        <v>1311</v>
      </c>
    </row>
    <row r="203">
      <c r="A203" t="s">
        <v>22</v>
      </c>
      <c r="B203" t="s">
        <v>1312</v>
      </c>
      <c r="C203" t="s">
        <v>24</v>
      </c>
      <c r="D203" t="s">
        <v>25</v>
      </c>
      <c r="E203" t="s">
        <v>1313</v>
      </c>
      <c r="F203" s="2" t="n">
        <f>HYPERLINK("https://patents.google.com/patent/US20150237217","Google")</f>
        <v>0.0</v>
      </c>
      <c r="G203" s="2" t="n">
        <f>HYPERLINK("https://patentcenter.uspto.gov/applications/14380025","Patent Center")</f>
        <v>0.0</v>
      </c>
      <c r="H203" s="2" t="n">
        <f>HYPERLINK("https://worldwide.espacenet.com/patent/search?q=US20150237217","Espacenet")</f>
        <v>0.0</v>
      </c>
      <c r="I203" s="2" t="n">
        <f>HYPERLINK("https://ppubs.uspto.gov/pubwebapp/external.html?q=20150237217.pn.","USPTO")</f>
        <v>0.0</v>
      </c>
      <c r="J203" s="2" t="n">
        <f>HYPERLINK("https://image-ppubs.uspto.gov/dirsearch-public/print/downloadPdf/20150237217","USPTO PDF")</f>
        <v>0.0</v>
      </c>
      <c r="K203" s="2" t="n">
        <f>HYPERLINK("https://sectors.patentforecast.com/pmd/US20150237217","PMD")</f>
        <v>0.0</v>
      </c>
      <c r="L203" s="2" t="n">
        <f>HYPERLINK("https://globaldossier.uspto.gov/result/application/US/14380025/1","US20150237217")</f>
        <v>0.0</v>
      </c>
      <c r="M203" t="s">
        <v>1314</v>
      </c>
      <c r="N203" t="s">
        <v>1315</v>
      </c>
      <c r="O203" t="s">
        <v>1316</v>
      </c>
      <c r="P203" t="s">
        <v>1317</v>
      </c>
      <c r="Q203" s="3" t="n">
        <v>41325.0</v>
      </c>
      <c r="R203" s="3" t="n">
        <v>42236.0</v>
      </c>
      <c r="S203" s="3" t="n">
        <v>43787.46957394676</v>
      </c>
      <c r="T203" s="3" t="n">
        <v>43789.47472375</v>
      </c>
      <c r="U203" t="s">
        <v>1318</v>
      </c>
      <c r="V203" t="s">
        <v>1319</v>
      </c>
    </row>
    <row r="204">
      <c r="A204" t="s">
        <v>22</v>
      </c>
      <c r="B204" t="s">
        <v>1320</v>
      </c>
      <c r="C204" t="s">
        <v>168</v>
      </c>
      <c r="D204" t="s">
        <v>168</v>
      </c>
      <c r="E204" t="s">
        <v>1321</v>
      </c>
      <c r="F204" s="2" t="n">
        <f>HYPERLINK("https://patents.google.com/patent/US20150201761","Google")</f>
        <v>0.0</v>
      </c>
      <c r="G204" s="2" t="n">
        <f>HYPERLINK("https://patentcenter.uspto.gov/applications/14601133","Patent Center")</f>
        <v>0.0</v>
      </c>
      <c r="H204" s="2" t="n">
        <f>HYPERLINK("https://worldwide.espacenet.com/patent/search?q=US20150201761","Espacenet")</f>
        <v>0.0</v>
      </c>
      <c r="I204" s="2" t="n">
        <f>HYPERLINK("https://ppubs.uspto.gov/pubwebapp/external.html?q=20150201761.pn.","USPTO")</f>
        <v>0.0</v>
      </c>
      <c r="J204" s="2" t="n">
        <f>HYPERLINK("https://image-ppubs.uspto.gov/dirsearch-public/print/downloadPdf/20150201761","USPTO PDF")</f>
        <v>0.0</v>
      </c>
      <c r="K204" s="2" t="n">
        <f>HYPERLINK("https://sectors.patentforecast.com/pmd/US20150201761","PMD")</f>
        <v>0.0</v>
      </c>
      <c r="L204" s="2" t="n">
        <f>HYPERLINK("https://globaldossier.uspto.gov/result/application/US/14601133/1","US20150201761")</f>
        <v>0.0</v>
      </c>
      <c r="M204" t="s">
        <v>1322</v>
      </c>
      <c r="N204" t="s">
        <v>1323</v>
      </c>
      <c r="O204" t="s">
        <v>1324</v>
      </c>
      <c r="P204" t="s">
        <v>1325</v>
      </c>
      <c r="Q204" s="3" t="n">
        <v>42024.0</v>
      </c>
      <c r="R204" s="3" t="n">
        <v>42208.0</v>
      </c>
      <c r="S204" s="3" t="n">
        <v>43832.98085798611</v>
      </c>
      <c r="T204" s="3" t="n">
        <v>43789.65781938657</v>
      </c>
      <c r="U204" t="s">
        <v>1326</v>
      </c>
      <c r="V204" t="s">
        <v>1327</v>
      </c>
    </row>
    <row r="205">
      <c r="A205" t="s">
        <v>22</v>
      </c>
      <c r="B205" t="s">
        <v>1328</v>
      </c>
      <c r="C205" t="s">
        <v>168</v>
      </c>
      <c r="D205" t="s">
        <v>168</v>
      </c>
      <c r="E205" t="s">
        <v>1329</v>
      </c>
      <c r="F205" s="2" t="n">
        <f>HYPERLINK("https://patents.google.com/patent/US20150194839","Google")</f>
        <v>0.0</v>
      </c>
      <c r="G205" s="2" t="n">
        <f>HYPERLINK("https://patentcenter.uspto.gov/applications/14589786","Patent Center")</f>
        <v>0.0</v>
      </c>
      <c r="H205" s="2" t="n">
        <f>HYPERLINK("https://worldwide.espacenet.com/patent/search?q=US20150194839","Espacenet")</f>
        <v>0.0</v>
      </c>
      <c r="I205" s="2" t="n">
        <f>HYPERLINK("https://ppubs.uspto.gov/pubwebapp/external.html?q=20150194839.pn.","USPTO")</f>
        <v>0.0</v>
      </c>
      <c r="J205" s="2" t="n">
        <f>HYPERLINK("https://image-ppubs.uspto.gov/dirsearch-public/print/downloadPdf/20150194839","USPTO PDF")</f>
        <v>0.0</v>
      </c>
      <c r="K205" s="2" t="n">
        <f>HYPERLINK("https://sectors.patentforecast.com/pmd/US20150194839","PMD")</f>
        <v>0.0</v>
      </c>
      <c r="L205" s="2" t="n">
        <f>HYPERLINK("https://globaldossier.uspto.gov/result/application/US/14589786/1","US20150194839")</f>
        <v>0.0</v>
      </c>
      <c r="M205" t="s">
        <v>1330</v>
      </c>
      <c r="N205" t="s">
        <v>1331</v>
      </c>
      <c r="O205" t="s">
        <v>1332</v>
      </c>
      <c r="P205" t="s">
        <v>1333</v>
      </c>
      <c r="Q205" s="3" t="n">
        <v>42009.0</v>
      </c>
      <c r="R205" s="3" t="n">
        <v>42194.0</v>
      </c>
      <c r="S205" s="3" t="n">
        <v>43789.473972719905</v>
      </c>
      <c r="T205" s="3" t="n">
        <v>43790.37310416667</v>
      </c>
      <c r="U205" t="s">
        <v>1334</v>
      </c>
      <c r="V205" t="s">
        <v>1335</v>
      </c>
    </row>
    <row r="206">
      <c r="A206" t="s">
        <v>22</v>
      </c>
      <c r="B206" t="s">
        <v>1336</v>
      </c>
      <c r="C206" t="s">
        <v>168</v>
      </c>
      <c r="D206" t="s">
        <v>168</v>
      </c>
      <c r="E206" t="s">
        <v>1337</v>
      </c>
      <c r="F206" s="2" t="n">
        <f>HYPERLINK("https://patents.google.com/patent/US20150173472","Google")</f>
        <v>0.0</v>
      </c>
      <c r="G206" s="2" t="n">
        <f>HYPERLINK("https://patentcenter.uspto.gov/applications/14135992","Patent Center")</f>
        <v>0.0</v>
      </c>
      <c r="H206" s="2" t="n">
        <f>HYPERLINK("https://worldwide.espacenet.com/patent/search?q=US20150173472","Espacenet")</f>
        <v>0.0</v>
      </c>
      <c r="I206" s="2" t="n">
        <f>HYPERLINK("https://ppubs.uspto.gov/pubwebapp/external.html?q=20150173472.pn.","USPTO")</f>
        <v>0.0</v>
      </c>
      <c r="J206" s="2" t="n">
        <f>HYPERLINK("https://image-ppubs.uspto.gov/dirsearch-public/print/downloadPdf/20150173472","USPTO PDF")</f>
        <v>0.0</v>
      </c>
      <c r="K206" s="2" t="n">
        <f>HYPERLINK("https://sectors.patentforecast.com/pmd/US20150173472","PMD")</f>
        <v>0.0</v>
      </c>
      <c r="L206" s="2" t="n">
        <f>HYPERLINK("https://globaldossier.uspto.gov/result/application/US/14135992/1","US20150173472")</f>
        <v>0.0</v>
      </c>
      <c r="M206" t="s">
        <v>1338</v>
      </c>
      <c r="N206" t="s">
        <v>1339</v>
      </c>
      <c r="O206" t="s">
        <v>1340</v>
      </c>
      <c r="P206" t="s">
        <v>1341</v>
      </c>
      <c r="Q206" s="3" t="n">
        <v>41628.0</v>
      </c>
      <c r="R206" s="3" t="n">
        <v>42180.0</v>
      </c>
      <c r="S206" s="3" t="n">
        <v>44497.65160287037</v>
      </c>
      <c r="T206" s="3" t="n">
        <v>44497.65187246528</v>
      </c>
      <c r="U206" t="s">
        <v>1342</v>
      </c>
      <c r="V206" t="s">
        <v>1343</v>
      </c>
    </row>
    <row r="207">
      <c r="A207" t="s">
        <v>22</v>
      </c>
      <c r="B207" t="s">
        <v>1344</v>
      </c>
      <c r="C207" t="s">
        <v>24</v>
      </c>
      <c r="D207" t="s">
        <v>25</v>
      </c>
      <c r="E207" t="s">
        <v>1345</v>
      </c>
      <c r="F207" s="2" t="n">
        <f>HYPERLINK("https://patents.google.com/patent/US20150163203","Google")</f>
        <v>0.0</v>
      </c>
      <c r="G207" s="2" t="n">
        <f>HYPERLINK("https://patentcenter.uspto.gov/applications/14596497","Patent Center")</f>
        <v>0.0</v>
      </c>
      <c r="H207" s="2" t="n">
        <f>HYPERLINK("https://worldwide.espacenet.com/patent/search?q=US20150163203","Espacenet")</f>
        <v>0.0</v>
      </c>
      <c r="I207" s="2" t="n">
        <f>HYPERLINK("https://ppubs.uspto.gov/pubwebapp/external.html?q=20150163203.pn.","USPTO")</f>
        <v>0.0</v>
      </c>
      <c r="J207" s="2" t="n">
        <f>HYPERLINK("https://image-ppubs.uspto.gov/dirsearch-public/print/downloadPdf/20150163203","USPTO PDF")</f>
        <v>0.0</v>
      </c>
      <c r="K207" s="2" t="n">
        <f>HYPERLINK("https://sectors.patentforecast.com/pmd/US20150163203","PMD")</f>
        <v>0.0</v>
      </c>
      <c r="L207" s="2" t="n">
        <f>HYPERLINK("https://globaldossier.uspto.gov/result/application/US/14596497/1","US20150163203")</f>
        <v>0.0</v>
      </c>
      <c r="M207" t="s">
        <v>1346</v>
      </c>
      <c r="N207" t="s">
        <v>1275</v>
      </c>
      <c r="O207" t="s">
        <v>1275</v>
      </c>
      <c r="P207" t="s">
        <v>1347</v>
      </c>
      <c r="Q207" s="3" t="n">
        <v>42018.0</v>
      </c>
      <c r="R207" s="3" t="n">
        <v>42166.0</v>
      </c>
      <c r="S207" s="3" t="n">
        <v>43791.50672763889</v>
      </c>
      <c r="T207" s="3" t="n">
        <v>43791.52660305556</v>
      </c>
      <c r="U207" t="s">
        <v>1348</v>
      </c>
      <c r="V207" t="s">
        <v>1349</v>
      </c>
    </row>
    <row r="208">
      <c r="A208" t="s">
        <v>22</v>
      </c>
      <c r="B208" t="s">
        <v>1350</v>
      </c>
      <c r="C208" t="s">
        <v>168</v>
      </c>
      <c r="D208" t="s">
        <v>168</v>
      </c>
      <c r="E208" t="s">
        <v>1351</v>
      </c>
      <c r="F208" s="2" t="n">
        <f>HYPERLINK("https://patents.google.com/patent/US20150141083","Google")</f>
        <v>0.0</v>
      </c>
      <c r="G208" s="2" t="n">
        <f>HYPERLINK("https://patentcenter.uspto.gov/applications/14086381","Patent Center")</f>
        <v>0.0</v>
      </c>
      <c r="H208" s="2" t="n">
        <f>HYPERLINK("https://worldwide.espacenet.com/patent/search?q=US20150141083","Espacenet")</f>
        <v>0.0</v>
      </c>
      <c r="I208" s="2" t="n">
        <f>HYPERLINK("https://ppubs.uspto.gov/pubwebapp/external.html?q=20150141083.pn.","USPTO")</f>
        <v>0.0</v>
      </c>
      <c r="J208" s="2" t="n">
        <f>HYPERLINK("https://image-ppubs.uspto.gov/dirsearch-public/print/downloadPdf/20150141083","USPTO PDF")</f>
        <v>0.0</v>
      </c>
      <c r="K208" s="2" t="n">
        <f>HYPERLINK("https://sectors.patentforecast.com/pmd/US20150141083","PMD")</f>
        <v>0.0</v>
      </c>
      <c r="L208" s="2" t="n">
        <f>HYPERLINK("https://globaldossier.uspto.gov/result/application/US/14086381/1","US20150141083")</f>
        <v>0.0</v>
      </c>
      <c r="M208" t="s">
        <v>1352</v>
      </c>
      <c r="N208" t="s">
        <v>901</v>
      </c>
      <c r="O208" t="s">
        <v>902</v>
      </c>
      <c r="P208" t="s">
        <v>1353</v>
      </c>
      <c r="Q208" s="3" t="n">
        <v>41599.0</v>
      </c>
      <c r="R208" s="3" t="n">
        <v>42145.0</v>
      </c>
      <c r="S208" s="3" t="n">
        <v>43791.411481006944</v>
      </c>
      <c r="T208" s="3" t="n">
        <v>43791.41912519676</v>
      </c>
      <c r="U208" t="s">
        <v>1354</v>
      </c>
      <c r="V208" t="s">
        <v>1355</v>
      </c>
    </row>
    <row r="209">
      <c r="A209" t="s">
        <v>22</v>
      </c>
      <c r="B209" t="s">
        <v>1356</v>
      </c>
      <c r="C209" t="s">
        <v>52</v>
      </c>
      <c r="D209" t="s">
        <v>52</v>
      </c>
      <c r="E209" t="s">
        <v>1357</v>
      </c>
      <c r="F209" s="2" t="n">
        <f>HYPERLINK("https://patents.google.com/patent/US20150084769","Google")</f>
        <v>0.0</v>
      </c>
      <c r="G209" s="2" t="n">
        <f>HYPERLINK("https://patentcenter.uspto.gov/applications/14394401","Patent Center")</f>
        <v>0.0</v>
      </c>
      <c r="H209" s="2" t="n">
        <f>HYPERLINK("https://worldwide.espacenet.com/patent/search?q=US20150084769","Espacenet")</f>
        <v>0.0</v>
      </c>
      <c r="I209" s="2" t="n">
        <f>HYPERLINK("https://ppubs.uspto.gov/pubwebapp/external.html?q=20150084769.pn.","USPTO")</f>
        <v>0.0</v>
      </c>
      <c r="J209" s="2" t="n">
        <f>HYPERLINK("https://image-ppubs.uspto.gov/dirsearch-public/print/downloadPdf/20150084769","USPTO PDF")</f>
        <v>0.0</v>
      </c>
      <c r="K209" s="2" t="n">
        <f>HYPERLINK("https://sectors.patentforecast.com/pmd/US20150084769","PMD")</f>
        <v>0.0</v>
      </c>
      <c r="L209" s="2" t="n">
        <f>HYPERLINK("https://globaldossier.uspto.gov/result/application/US/14394401/1","US20150084769")</f>
        <v>0.0</v>
      </c>
      <c r="M209" t="s">
        <v>1358</v>
      </c>
      <c r="N209" t="s">
        <v>1157</v>
      </c>
      <c r="O209" t="s">
        <v>1158</v>
      </c>
      <c r="P209" t="s">
        <v>1359</v>
      </c>
      <c r="Q209" s="3" t="n">
        <v>41374.0</v>
      </c>
      <c r="R209" s="3" t="n">
        <v>42089.0</v>
      </c>
      <c r="S209" s="3" t="n">
        <v>43788.68925009259</v>
      </c>
      <c r="T209" s="3" t="n">
        <v>43789.457401817126</v>
      </c>
      <c r="U209" t="s">
        <v>1360</v>
      </c>
      <c r="V209" t="s">
        <v>1361</v>
      </c>
    </row>
    <row r="210">
      <c r="A210" t="s">
        <v>22</v>
      </c>
      <c r="B210" t="s">
        <v>1362</v>
      </c>
      <c r="C210" t="s">
        <v>24</v>
      </c>
      <c r="D210" t="s">
        <v>25</v>
      </c>
      <c r="E210" t="s">
        <v>1363</v>
      </c>
      <c r="F210" s="2" t="n">
        <f>HYPERLINK("https://patents.google.com/patent/US20150072669","Google")</f>
        <v>0.0</v>
      </c>
      <c r="G210" s="2" t="n">
        <f>HYPERLINK("https://patentcenter.uspto.gov/applications/14024630","Patent Center")</f>
        <v>0.0</v>
      </c>
      <c r="H210" s="2" t="n">
        <f>HYPERLINK("https://worldwide.espacenet.com/patent/search?q=US20150072669","Espacenet")</f>
        <v>0.0</v>
      </c>
      <c r="I210" s="2" t="n">
        <f>HYPERLINK("https://ppubs.uspto.gov/pubwebapp/external.html?q=20150072669.pn.","USPTO")</f>
        <v>0.0</v>
      </c>
      <c r="J210" s="2" t="n">
        <f>HYPERLINK("https://image-ppubs.uspto.gov/dirsearch-public/print/downloadPdf/20150072669","USPTO PDF")</f>
        <v>0.0</v>
      </c>
      <c r="K210" s="2" t="n">
        <f>HYPERLINK("https://sectors.patentforecast.com/pmd/US20150072669","PMD")</f>
        <v>0.0</v>
      </c>
      <c r="L210" s="2" t="n">
        <f>HYPERLINK("https://globaldossier.uspto.gov/result/application/US/14024630/1","US20150072669")</f>
        <v>0.0</v>
      </c>
      <c r="M210" t="s">
        <v>1364</v>
      </c>
      <c r="N210" t="s">
        <v>930</v>
      </c>
      <c r="O210" t="s">
        <v>931</v>
      </c>
      <c r="P210" t="s">
        <v>1365</v>
      </c>
      <c r="Q210" s="3" t="n">
        <v>41528.0</v>
      </c>
      <c r="R210" s="3" t="n">
        <v>42075.0</v>
      </c>
      <c r="S210" s="3" t="n">
        <v>43791.49040293982</v>
      </c>
      <c r="T210" s="3" t="n">
        <v>43791.51488980324</v>
      </c>
      <c r="U210" t="s">
        <v>1366</v>
      </c>
      <c r="V210" t="s">
        <v>1367</v>
      </c>
    </row>
    <row r="211">
      <c r="A211" t="s">
        <v>22</v>
      </c>
      <c r="B211" t="s">
        <v>1368</v>
      </c>
      <c r="C211" t="s">
        <v>24</v>
      </c>
      <c r="D211" t="s">
        <v>25</v>
      </c>
      <c r="E211" t="s">
        <v>1369</v>
      </c>
      <c r="F211" s="2" t="n">
        <f>HYPERLINK("https://patents.google.com/patent/US20150071163","Google")</f>
        <v>0.0</v>
      </c>
      <c r="G211" s="2" t="n">
        <f>HYPERLINK("https://patentcenter.uspto.gov/applications/14484604","Patent Center")</f>
        <v>0.0</v>
      </c>
      <c r="H211" s="2" t="n">
        <f>HYPERLINK("https://worldwide.espacenet.com/patent/search?q=US20150071163","Espacenet")</f>
        <v>0.0</v>
      </c>
      <c r="I211" s="2" t="n">
        <f>HYPERLINK("https://ppubs.uspto.gov/pubwebapp/external.html?q=20150071163.pn.","USPTO")</f>
        <v>0.0</v>
      </c>
      <c r="J211" s="2" t="n">
        <f>HYPERLINK("https://image-ppubs.uspto.gov/dirsearch-public/print/downloadPdf/20150071163","USPTO PDF")</f>
        <v>0.0</v>
      </c>
      <c r="K211" s="2" t="n">
        <f>HYPERLINK("https://sectors.patentforecast.com/pmd/US20150071163","PMD")</f>
        <v>0.0</v>
      </c>
      <c r="L211" s="2" t="n">
        <f>HYPERLINK("https://globaldossier.uspto.gov/result/application/US/14484604/1","US20150071163")</f>
        <v>0.0</v>
      </c>
      <c r="M211" t="s">
        <v>1370</v>
      </c>
      <c r="N211" t="s">
        <v>1371</v>
      </c>
      <c r="O211" t="s">
        <v>1371</v>
      </c>
      <c r="P211" t="s">
        <v>1372</v>
      </c>
      <c r="Q211" s="3" t="n">
        <v>41894.0</v>
      </c>
      <c r="R211" s="3" t="n">
        <v>42075.0</v>
      </c>
      <c r="S211" s="3" t="n">
        <v>43791.54549739583</v>
      </c>
      <c r="T211" s="3" t="n">
        <v>43791.56879928241</v>
      </c>
      <c r="U211" t="s">
        <v>1373</v>
      </c>
      <c r="V211" t="s">
        <v>1374</v>
      </c>
    </row>
    <row r="212">
      <c r="A212" t="s">
        <v>22</v>
      </c>
      <c r="B212" t="s">
        <v>1375</v>
      </c>
      <c r="C212" t="s">
        <v>24</v>
      </c>
      <c r="D212" t="s">
        <v>25</v>
      </c>
      <c r="E212" t="s">
        <v>1376</v>
      </c>
      <c r="F212" s="2" t="n">
        <f>HYPERLINK("https://patents.google.com/patent/US20150056980","Google")</f>
        <v>0.0</v>
      </c>
      <c r="G212" s="2" t="n">
        <f>HYPERLINK("https://patentcenter.uspto.gov/applications/14390125","Patent Center")</f>
        <v>0.0</v>
      </c>
      <c r="H212" s="2" t="n">
        <f>HYPERLINK("https://worldwide.espacenet.com/patent/search?q=US20150056980","Espacenet")</f>
        <v>0.0</v>
      </c>
      <c r="I212" s="2" t="n">
        <f>HYPERLINK("https://ppubs.uspto.gov/pubwebapp/external.html?q=20150056980.pn.","USPTO")</f>
        <v>0.0</v>
      </c>
      <c r="J212" s="2" t="n">
        <f>HYPERLINK("https://image-ppubs.uspto.gov/dirsearch-public/print/downloadPdf/20150056980","USPTO PDF")</f>
        <v>0.0</v>
      </c>
      <c r="K212" s="2" t="n">
        <f>HYPERLINK("https://sectors.patentforecast.com/pmd/US20150056980","PMD")</f>
        <v>0.0</v>
      </c>
      <c r="L212" s="2" t="n">
        <f>HYPERLINK("https://globaldossier.uspto.gov/result/application/US/14390125/1","US20150056980")</f>
        <v>0.0</v>
      </c>
      <c r="M212" t="s">
        <v>1377</v>
      </c>
      <c r="N212" t="s">
        <v>1378</v>
      </c>
      <c r="O212" t="s">
        <v>1379</v>
      </c>
      <c r="P212" t="s">
        <v>1380</v>
      </c>
      <c r="Q212" s="3" t="n">
        <v>41367.0</v>
      </c>
      <c r="R212" s="3" t="n">
        <v>42061.0</v>
      </c>
      <c r="S212" s="3" t="n">
        <v>43791.38288215278</v>
      </c>
      <c r="T212" s="3" t="n">
        <v>43791.48348603009</v>
      </c>
      <c r="U212" t="s">
        <v>1381</v>
      </c>
      <c r="V212" t="s">
        <v>1382</v>
      </c>
    </row>
    <row r="213">
      <c r="A213" t="s">
        <v>22</v>
      </c>
      <c r="B213" t="s">
        <v>1383</v>
      </c>
      <c r="C213" t="s">
        <v>24</v>
      </c>
      <c r="D213" t="s">
        <v>25</v>
      </c>
      <c r="E213" t="s">
        <v>1273</v>
      </c>
      <c r="F213" s="2" t="n">
        <f>HYPERLINK("https://patents.google.com/patent/US20150046709","Google")</f>
        <v>0.0</v>
      </c>
      <c r="G213" s="2" t="n">
        <f>HYPERLINK("https://patentcenter.uspto.gov/applications/14494961","Patent Center")</f>
        <v>0.0</v>
      </c>
      <c r="H213" s="2" t="n">
        <f>HYPERLINK("https://worldwide.espacenet.com/patent/search?q=US20150046709","Espacenet")</f>
        <v>0.0</v>
      </c>
      <c r="I213" s="2" t="n">
        <f>HYPERLINK("https://ppubs.uspto.gov/pubwebapp/external.html?q=20150046709.pn.","USPTO")</f>
        <v>0.0</v>
      </c>
      <c r="J213" s="2" t="n">
        <f>HYPERLINK("https://image-ppubs.uspto.gov/dirsearch-public/print/downloadPdf/20150046709","USPTO PDF")</f>
        <v>0.0</v>
      </c>
      <c r="K213" s="2" t="n">
        <f>HYPERLINK("https://sectors.patentforecast.com/pmd/US20150046709","PMD")</f>
        <v>0.0</v>
      </c>
      <c r="L213" s="2" t="n">
        <f>HYPERLINK("https://globaldossier.uspto.gov/result/application/US/14494961/1","US20150046709")</f>
        <v>0.0</v>
      </c>
      <c r="M213" t="s">
        <v>1384</v>
      </c>
      <c r="N213" t="s">
        <v>1275</v>
      </c>
      <c r="O213" t="s">
        <v>1275</v>
      </c>
      <c r="P213" t="s">
        <v>1276</v>
      </c>
      <c r="Q213" s="3" t="n">
        <v>41906.0</v>
      </c>
      <c r="R213" s="3" t="n">
        <v>42047.0</v>
      </c>
      <c r="S213" s="3" t="n">
        <v>43791.50672763889</v>
      </c>
      <c r="T213" s="3" t="n">
        <v>43791.52428856481</v>
      </c>
      <c r="U213" t="s">
        <v>1277</v>
      </c>
      <c r="V213" t="s">
        <v>1278</v>
      </c>
    </row>
    <row r="214">
      <c r="A214" t="s">
        <v>22</v>
      </c>
      <c r="B214" t="s">
        <v>1385</v>
      </c>
      <c r="C214" t="s">
        <v>168</v>
      </c>
      <c r="D214" t="s">
        <v>168</v>
      </c>
      <c r="E214" t="s">
        <v>1386</v>
      </c>
      <c r="F214" s="2" t="n">
        <f>HYPERLINK("https://patents.google.com/patent/US20140376646","Google")</f>
        <v>0.0</v>
      </c>
      <c r="G214" s="2" t="n">
        <f>HYPERLINK("https://patentcenter.uspto.gov/applications/13926055","Patent Center")</f>
        <v>0.0</v>
      </c>
      <c r="H214" s="2" t="n">
        <f>HYPERLINK("https://worldwide.espacenet.com/patent/search?q=US20140376646","Espacenet")</f>
        <v>0.0</v>
      </c>
      <c r="I214" s="2" t="n">
        <f>HYPERLINK("https://ppubs.uspto.gov/pubwebapp/external.html?q=20140376646.pn.","USPTO")</f>
        <v>0.0</v>
      </c>
      <c r="J214" s="2" t="n">
        <f>HYPERLINK("https://image-ppubs.uspto.gov/dirsearch-public/print/downloadPdf/20140376646","USPTO PDF")</f>
        <v>0.0</v>
      </c>
      <c r="K214" s="2" t="n">
        <f>HYPERLINK("https://sectors.patentforecast.com/pmd/US20140376646","PMD")</f>
        <v>0.0</v>
      </c>
      <c r="L214" s="2" t="n">
        <f>HYPERLINK("https://globaldossier.uspto.gov/result/application/US/13926055/1","US20140376646")</f>
        <v>0.0</v>
      </c>
      <c r="M214" t="s">
        <v>1387</v>
      </c>
      <c r="N214" t="s">
        <v>1032</v>
      </c>
      <c r="O214" t="s">
        <v>1033</v>
      </c>
      <c r="P214" t="s">
        <v>1388</v>
      </c>
      <c r="Q214" s="3" t="n">
        <v>41450.0</v>
      </c>
      <c r="R214" s="3" t="n">
        <v>41998.0</v>
      </c>
      <c r="S214" s="3" t="n">
        <v>43790.77964350695</v>
      </c>
      <c r="T214" s="3" t="n">
        <v>43791.469736631945</v>
      </c>
      <c r="U214" t="s">
        <v>1389</v>
      </c>
      <c r="V214" t="s">
        <v>1390</v>
      </c>
    </row>
    <row r="215">
      <c r="A215" t="s">
        <v>22</v>
      </c>
      <c r="B215" t="s">
        <v>1391</v>
      </c>
      <c r="C215" t="s">
        <v>24</v>
      </c>
      <c r="D215" t="s">
        <v>25</v>
      </c>
      <c r="E215" t="s">
        <v>1392</v>
      </c>
      <c r="F215" s="2" t="n">
        <f>HYPERLINK("https://patents.google.com/patent/US20140349569","Google")</f>
        <v>0.0</v>
      </c>
      <c r="G215" s="2" t="n">
        <f>HYPERLINK("https://patentcenter.uspto.gov/applications/13956107","Patent Center")</f>
        <v>0.0</v>
      </c>
      <c r="H215" s="2" t="n">
        <f>HYPERLINK("https://worldwide.espacenet.com/patent/search?q=US20140349569","Espacenet")</f>
        <v>0.0</v>
      </c>
      <c r="I215" s="2" t="n">
        <f>HYPERLINK("https://ppubs.uspto.gov/pubwebapp/external.html?q=20140349569.pn.","USPTO")</f>
        <v>0.0</v>
      </c>
      <c r="J215" s="2" t="n">
        <f>HYPERLINK("https://image-ppubs.uspto.gov/dirsearch-public/print/downloadPdf/20140349569","USPTO PDF")</f>
        <v>0.0</v>
      </c>
      <c r="K215" s="2" t="n">
        <f>HYPERLINK("https://sectors.patentforecast.com/pmd/US20140349569","PMD")</f>
        <v>0.0</v>
      </c>
      <c r="L215" s="2" t="n">
        <f>HYPERLINK("https://globaldossier.uspto.gov/result/application/US/13956107/1","US20140349569")</f>
        <v>0.0</v>
      </c>
      <c r="M215" t="s">
        <v>1393</v>
      </c>
      <c r="N215" t="s">
        <v>1394</v>
      </c>
      <c r="O215" t="s">
        <v>1395</v>
      </c>
      <c r="P215" t="s">
        <v>1396</v>
      </c>
      <c r="Q215" s="3" t="n">
        <v>41486.0</v>
      </c>
      <c r="R215" s="3" t="n">
        <v>41970.0</v>
      </c>
      <c r="S215" s="3" t="n">
        <v>43788.411934270836</v>
      </c>
      <c r="T215" s="3" t="n">
        <v>43789.43518353009</v>
      </c>
      <c r="U215" t="s">
        <v>1397</v>
      </c>
      <c r="V215" t="s">
        <v>1398</v>
      </c>
    </row>
    <row r="216">
      <c r="A216" t="s">
        <v>22</v>
      </c>
      <c r="B216" t="s">
        <v>1399</v>
      </c>
      <c r="C216" t="s">
        <v>168</v>
      </c>
      <c r="D216" t="s">
        <v>168</v>
      </c>
      <c r="E216" t="s">
        <v>1400</v>
      </c>
      <c r="F216" s="2" t="n">
        <f>HYPERLINK("https://patents.google.com/patent/US20140326771","Google")</f>
        <v>0.0</v>
      </c>
      <c r="G216" s="2" t="n">
        <f>HYPERLINK("https://patentcenter.uspto.gov/applications/13886494","Patent Center")</f>
        <v>0.0</v>
      </c>
      <c r="H216" s="2" t="n">
        <f>HYPERLINK("https://worldwide.espacenet.com/patent/search?q=US20140326771","Espacenet")</f>
        <v>0.0</v>
      </c>
      <c r="I216" s="2" t="n">
        <f>HYPERLINK("https://ppubs.uspto.gov/pubwebapp/external.html?q=20140326771.pn.","USPTO")</f>
        <v>0.0</v>
      </c>
      <c r="J216" s="2" t="n">
        <f>HYPERLINK("https://image-ppubs.uspto.gov/dirsearch-public/print/downloadPdf/20140326771","USPTO PDF")</f>
        <v>0.0</v>
      </c>
      <c r="K216" s="2" t="n">
        <f>HYPERLINK("https://sectors.patentforecast.com/pmd/US20140326771","PMD")</f>
        <v>0.0</v>
      </c>
      <c r="L216" s="2" t="n">
        <f>HYPERLINK("https://globaldossier.uspto.gov/result/application/US/13886494/1","US20140326771")</f>
        <v>0.0</v>
      </c>
      <c r="M216" t="s">
        <v>1401</v>
      </c>
      <c r="N216" t="s">
        <v>227</v>
      </c>
      <c r="O216" t="s">
        <v>228</v>
      </c>
      <c r="P216" t="s">
        <v>1402</v>
      </c>
      <c r="Q216" s="3" t="n">
        <v>41397.0</v>
      </c>
      <c r="R216" s="3" t="n">
        <v>41949.0</v>
      </c>
      <c r="S216" s="3" t="n">
        <v>43787.46957394676</v>
      </c>
      <c r="T216" s="3" t="n">
        <v>43789.43620189815</v>
      </c>
      <c r="U216" t="s">
        <v>1403</v>
      </c>
      <c r="V216" t="s">
        <v>1404</v>
      </c>
    </row>
    <row r="217">
      <c r="A217" t="s">
        <v>22</v>
      </c>
      <c r="B217" t="s">
        <v>1405</v>
      </c>
      <c r="C217" t="s">
        <v>61</v>
      </c>
      <c r="D217" t="s">
        <v>61</v>
      </c>
      <c r="E217" t="s">
        <v>1406</v>
      </c>
      <c r="F217" s="2" t="n">
        <f>HYPERLINK("https://patents.google.com/patent/US20140301490","Google")</f>
        <v>0.0</v>
      </c>
      <c r="G217" s="2" t="n">
        <f>HYPERLINK("https://patentcenter.uspto.gov/applications/14034261","Patent Center")</f>
        <v>0.0</v>
      </c>
      <c r="H217" s="2" t="n">
        <f>HYPERLINK("https://worldwide.espacenet.com/patent/search?q=US20140301490","Espacenet")</f>
        <v>0.0</v>
      </c>
      <c r="I217" s="2" t="n">
        <f>HYPERLINK("https://ppubs.uspto.gov/pubwebapp/external.html?q=20140301490.pn.","USPTO")</f>
        <v>0.0</v>
      </c>
      <c r="J217" s="2" t="n">
        <f>HYPERLINK("https://image-ppubs.uspto.gov/dirsearch-public/print/downloadPdf/20140301490","USPTO PDF")</f>
        <v>0.0</v>
      </c>
      <c r="K217" s="2" t="n">
        <f>HYPERLINK("https://sectors.patentforecast.com/pmd/US20140301490","PMD")</f>
        <v>0.0</v>
      </c>
      <c r="L217" s="2" t="n">
        <f>HYPERLINK("https://globaldossier.uspto.gov/result/application/US/14034261/1","US20140301490")</f>
        <v>0.0</v>
      </c>
      <c r="M217" t="s">
        <v>1407</v>
      </c>
      <c r="N217" t="s">
        <v>1408</v>
      </c>
      <c r="O217" t="s">
        <v>1409</v>
      </c>
      <c r="P217" t="s">
        <v>1410</v>
      </c>
      <c r="Q217" s="3" t="n">
        <v>41540.0</v>
      </c>
      <c r="R217" s="3" t="n">
        <v>41921.0</v>
      </c>
      <c r="S217" s="3" t="n">
        <v>43788.41205849537</v>
      </c>
      <c r="T217" s="3" t="n">
        <v>43789.42418365741</v>
      </c>
      <c r="U217" t="s">
        <v>1411</v>
      </c>
      <c r="V217" t="s">
        <v>1412</v>
      </c>
    </row>
    <row r="218">
      <c r="A218" t="s">
        <v>22</v>
      </c>
      <c r="B218" t="s">
        <v>1413</v>
      </c>
      <c r="C218" t="s">
        <v>61</v>
      </c>
      <c r="D218" t="s">
        <v>61</v>
      </c>
      <c r="E218" t="s">
        <v>1414</v>
      </c>
      <c r="F218" s="2" t="n">
        <f>HYPERLINK("https://patents.google.com/patent/US20140282783","Google")</f>
        <v>0.0</v>
      </c>
      <c r="G218" s="2" t="n">
        <f>HYPERLINK("https://patentcenter.uspto.gov/applications/14216584","Patent Center")</f>
        <v>0.0</v>
      </c>
      <c r="H218" s="2" t="n">
        <f>HYPERLINK("https://worldwide.espacenet.com/patent/search?q=US20140282783","Espacenet")</f>
        <v>0.0</v>
      </c>
      <c r="I218" s="2" t="n">
        <f>HYPERLINK("https://ppubs.uspto.gov/pubwebapp/external.html?q=20140282783.pn.","USPTO")</f>
        <v>0.0</v>
      </c>
      <c r="J218" s="2" t="n">
        <f>HYPERLINK("https://image-ppubs.uspto.gov/dirsearch-public/print/downloadPdf/20140282783","USPTO PDF")</f>
        <v>0.0</v>
      </c>
      <c r="K218" s="2" t="n">
        <f>HYPERLINK("https://sectors.patentforecast.com/pmd/US20140282783","PMD")</f>
        <v>0.0</v>
      </c>
      <c r="L218" s="2" t="n">
        <f>HYPERLINK("https://globaldossier.uspto.gov/result/application/US/14216584/1","US20140282783")</f>
        <v>0.0</v>
      </c>
      <c r="M218" t="s">
        <v>1415</v>
      </c>
      <c r="N218" t="s">
        <v>1408</v>
      </c>
      <c r="O218" t="s">
        <v>1409</v>
      </c>
      <c r="P218" t="s">
        <v>1416</v>
      </c>
      <c r="Q218" s="3" t="n">
        <v>41715.0</v>
      </c>
      <c r="R218" s="3" t="n">
        <v>41900.0</v>
      </c>
      <c r="S218" s="3" t="n">
        <v>43788.41205849537</v>
      </c>
      <c r="T218" s="3" t="n">
        <v>43788.6818525</v>
      </c>
      <c r="U218" t="s">
        <v>1417</v>
      </c>
      <c r="V218" t="s">
        <v>1418</v>
      </c>
    </row>
    <row r="219">
      <c r="A219" t="s">
        <v>22</v>
      </c>
      <c r="B219" t="s">
        <v>1419</v>
      </c>
      <c r="C219" t="s">
        <v>24</v>
      </c>
      <c r="D219" t="s">
        <v>25</v>
      </c>
      <c r="E219" t="s">
        <v>1420</v>
      </c>
      <c r="F219" s="2" t="n">
        <f>HYPERLINK("https://patents.google.com/patent/US20140269553","Google")</f>
        <v>0.0</v>
      </c>
      <c r="G219" s="2" t="n">
        <f>HYPERLINK("https://patentcenter.uspto.gov/applications/14199324","Patent Center")</f>
        <v>0.0</v>
      </c>
      <c r="H219" s="2" t="n">
        <f>HYPERLINK("https://worldwide.espacenet.com/patent/search?q=US20140269553","Espacenet")</f>
        <v>0.0</v>
      </c>
      <c r="I219" s="2" t="n">
        <f>HYPERLINK("https://ppubs.uspto.gov/pubwebapp/external.html?q=20140269553.pn.","USPTO")</f>
        <v>0.0</v>
      </c>
      <c r="J219" s="2" t="n">
        <f>HYPERLINK("https://image-ppubs.uspto.gov/dirsearch-public/print/downloadPdf/20140269553","USPTO PDF")</f>
        <v>0.0</v>
      </c>
      <c r="K219" s="2" t="n">
        <f>HYPERLINK("https://sectors.patentforecast.com/pmd/US20140269553","PMD")</f>
        <v>0.0</v>
      </c>
      <c r="L219" s="2" t="n">
        <f>HYPERLINK("https://globaldossier.uspto.gov/result/application/US/14199324/1","US20140269553")</f>
        <v>0.0</v>
      </c>
      <c r="M219" t="s">
        <v>1421</v>
      </c>
      <c r="N219" t="s">
        <v>1019</v>
      </c>
      <c r="O219" t="s">
        <v>1020</v>
      </c>
      <c r="P219" t="s">
        <v>1422</v>
      </c>
      <c r="Q219" s="3" t="n">
        <v>41704.0</v>
      </c>
      <c r="R219" s="3" t="n">
        <v>41900.0</v>
      </c>
      <c r="S219" s="3" t="n">
        <v>43791.42860548611</v>
      </c>
      <c r="T219" s="3" t="n">
        <v>43791.429297546296</v>
      </c>
      <c r="U219" t="s">
        <v>1423</v>
      </c>
      <c r="V219" t="s">
        <v>1424</v>
      </c>
    </row>
    <row r="220">
      <c r="A220" t="s">
        <v>22</v>
      </c>
      <c r="B220" t="s">
        <v>1425</v>
      </c>
      <c r="C220" t="s">
        <v>24</v>
      </c>
      <c r="D220" t="s">
        <v>25</v>
      </c>
      <c r="E220" t="s">
        <v>1426</v>
      </c>
      <c r="F220" s="2" t="n">
        <f>HYPERLINK("https://patents.google.com/patent/US20140266970","Google")</f>
        <v>0.0</v>
      </c>
      <c r="G220" s="2" t="n">
        <f>HYPERLINK("https://patentcenter.uspto.gov/applications/13836801","Patent Center")</f>
        <v>0.0</v>
      </c>
      <c r="H220" s="2" t="n">
        <f>HYPERLINK("https://worldwide.espacenet.com/patent/search?q=US20140266970","Espacenet")</f>
        <v>0.0</v>
      </c>
      <c r="I220" s="2" t="n">
        <f>HYPERLINK("https://ppubs.uspto.gov/pubwebapp/external.html?q=20140266970.pn.","USPTO")</f>
        <v>0.0</v>
      </c>
      <c r="J220" s="2" t="n">
        <f>HYPERLINK("https://image-ppubs.uspto.gov/dirsearch-public/print/downloadPdf/20140266970","USPTO PDF")</f>
        <v>0.0</v>
      </c>
      <c r="K220" s="2" t="n">
        <f>HYPERLINK("https://sectors.patentforecast.com/pmd/US20140266970","PMD")</f>
        <v>0.0</v>
      </c>
      <c r="L220" s="2" t="n">
        <f>HYPERLINK("https://globaldossier.uspto.gov/result/application/US/13836801/1","US20140266970")</f>
        <v>0.0</v>
      </c>
      <c r="M220" t="s">
        <v>1427</v>
      </c>
      <c r="N220" t="s">
        <v>1428</v>
      </c>
      <c r="O220" t="s">
        <v>1429</v>
      </c>
      <c r="P220" t="s">
        <v>1430</v>
      </c>
      <c r="Q220" s="3" t="n">
        <v>41348.0</v>
      </c>
      <c r="R220" s="3" t="n">
        <v>41900.0</v>
      </c>
      <c r="S220" s="3" t="n">
        <v>43791.50672763889</v>
      </c>
      <c r="T220" s="3" t="n">
        <v>43791.59379420139</v>
      </c>
      <c r="U220" t="s">
        <v>1431</v>
      </c>
      <c r="V220" t="s">
        <v>1432</v>
      </c>
    </row>
    <row r="221">
      <c r="A221" t="s">
        <v>22</v>
      </c>
      <c r="B221" t="s">
        <v>1433</v>
      </c>
      <c r="C221" t="s">
        <v>24</v>
      </c>
      <c r="D221" t="s">
        <v>25</v>
      </c>
      <c r="E221" t="s">
        <v>1434</v>
      </c>
      <c r="F221" s="2" t="n">
        <f>HYPERLINK("https://patents.google.com/patent/US20140226645","Google")</f>
        <v>0.0</v>
      </c>
      <c r="G221" s="2" t="n">
        <f>HYPERLINK("https://patentcenter.uspto.gov/applications/14343611","Patent Center")</f>
        <v>0.0</v>
      </c>
      <c r="H221" s="2" t="n">
        <f>HYPERLINK("https://worldwide.espacenet.com/patent/search?q=US20140226645","Espacenet")</f>
        <v>0.0</v>
      </c>
      <c r="I221" s="2" t="n">
        <f>HYPERLINK("https://ppubs.uspto.gov/pubwebapp/external.html?q=20140226645.pn.","USPTO")</f>
        <v>0.0</v>
      </c>
      <c r="J221" s="2" t="n">
        <f>HYPERLINK("https://image-ppubs.uspto.gov/dirsearch-public/print/downloadPdf/20140226645","USPTO PDF")</f>
        <v>0.0</v>
      </c>
      <c r="K221" s="2" t="n">
        <f>HYPERLINK("https://sectors.patentforecast.com/pmd/US20140226645","PMD")</f>
        <v>0.0</v>
      </c>
      <c r="L221" s="2" t="n">
        <f>HYPERLINK("https://globaldossier.uspto.gov/result/application/US/14343611/1","US20140226645")</f>
        <v>0.0</v>
      </c>
      <c r="M221" t="s">
        <v>1435</v>
      </c>
      <c r="N221" t="s">
        <v>1436</v>
      </c>
      <c r="O221" t="s">
        <v>1437</v>
      </c>
      <c r="P221" t="s">
        <v>1438</v>
      </c>
      <c r="Q221" s="3" t="n">
        <v>41157.0</v>
      </c>
      <c r="R221" s="3" t="n">
        <v>41865.0</v>
      </c>
      <c r="S221" s="3" t="n">
        <v>43790.77964350695</v>
      </c>
      <c r="T221" s="3" t="n">
        <v>43791.481514467596</v>
      </c>
      <c r="U221" t="s">
        <v>1439</v>
      </c>
      <c r="V221" t="s">
        <v>1440</v>
      </c>
    </row>
    <row r="222">
      <c r="A222" t="s">
        <v>22</v>
      </c>
      <c r="B222" t="s">
        <v>1441</v>
      </c>
      <c r="C222" t="s">
        <v>168</v>
      </c>
      <c r="D222" t="s">
        <v>168</v>
      </c>
      <c r="E222" t="s">
        <v>265</v>
      </c>
      <c r="F222" s="2" t="n">
        <f>HYPERLINK("https://patents.google.com/patent/US20140103720","Google")</f>
        <v>0.0</v>
      </c>
      <c r="G222" s="2" t="n">
        <f>HYPERLINK("https://patentcenter.uspto.gov/applications/14109156","Patent Center")</f>
        <v>0.0</v>
      </c>
      <c r="H222" s="2" t="n">
        <f>HYPERLINK("https://worldwide.espacenet.com/patent/search?q=US20140103720","Espacenet")</f>
        <v>0.0</v>
      </c>
      <c r="I222" s="2" t="n">
        <f>HYPERLINK("https://ppubs.uspto.gov/pubwebapp/external.html?q=20140103720.pn.","USPTO")</f>
        <v>0.0</v>
      </c>
      <c r="J222" s="2" t="n">
        <f>HYPERLINK("https://image-ppubs.uspto.gov/dirsearch-public/print/downloadPdf/20140103720","USPTO PDF")</f>
        <v>0.0</v>
      </c>
      <c r="K222" s="2" t="n">
        <f>HYPERLINK("https://sectors.patentforecast.com/pmd/US20140103720","PMD")</f>
        <v>0.0</v>
      </c>
      <c r="L222" s="2" t="n">
        <f>HYPERLINK("https://globaldossier.uspto.gov/result/application/US/14109156/1","US20140103720")</f>
        <v>0.0</v>
      </c>
      <c r="M222" t="s">
        <v>1442</v>
      </c>
      <c r="N222" t="s">
        <v>1200</v>
      </c>
      <c r="O222" t="s">
        <v>1201</v>
      </c>
      <c r="P222" t="s">
        <v>269</v>
      </c>
      <c r="Q222" s="3" t="n">
        <v>41625.0</v>
      </c>
      <c r="R222" s="3" t="n">
        <v>41746.0</v>
      </c>
      <c r="S222" s="3" t="n">
        <v>43789.47386359954</v>
      </c>
      <c r="T222" s="3" t="n">
        <v>43789.56603515046</v>
      </c>
      <c r="U222" t="s">
        <v>1443</v>
      </c>
      <c r="V222" t="s">
        <v>1203</v>
      </c>
    </row>
    <row r="223">
      <c r="A223" t="s">
        <v>22</v>
      </c>
      <c r="B223" t="s">
        <v>1444</v>
      </c>
      <c r="C223" t="s">
        <v>24</v>
      </c>
      <c r="D223" t="s">
        <v>25</v>
      </c>
      <c r="E223" t="s">
        <v>1445</v>
      </c>
      <c r="F223" s="2" t="n">
        <f>HYPERLINK("https://patents.google.com/patent/US20140061273","Google")</f>
        <v>0.0</v>
      </c>
      <c r="G223" s="2" t="n">
        <f>HYPERLINK("https://patentcenter.uspto.gov/applications/13790904","Patent Center")</f>
        <v>0.0</v>
      </c>
      <c r="H223" s="2" t="n">
        <f>HYPERLINK("https://worldwide.espacenet.com/patent/search?q=US20140061273","Espacenet")</f>
        <v>0.0</v>
      </c>
      <c r="I223" s="2" t="n">
        <f>HYPERLINK("https://ppubs.uspto.gov/pubwebapp/external.html?q=20140061273.pn.","USPTO")</f>
        <v>0.0</v>
      </c>
      <c r="J223" s="2" t="n">
        <f>HYPERLINK("https://image-ppubs.uspto.gov/dirsearch-public/print/downloadPdf/20140061273","USPTO PDF")</f>
        <v>0.0</v>
      </c>
      <c r="K223" s="2" t="n">
        <f>HYPERLINK("https://sectors.patentforecast.com/pmd/US20140061273","PMD")</f>
        <v>0.0</v>
      </c>
      <c r="L223" s="2" t="n">
        <f>HYPERLINK("https://globaldossier.uspto.gov/result/application/US/13790904/1","US20140061273")</f>
        <v>0.0</v>
      </c>
      <c r="M223" t="s">
        <v>1446</v>
      </c>
      <c r="N223" t="s">
        <v>1447</v>
      </c>
      <c r="O223" t="s">
        <v>1448</v>
      </c>
      <c r="P223" t="s">
        <v>1449</v>
      </c>
      <c r="Q223" s="3" t="n">
        <v>41341.0</v>
      </c>
      <c r="R223" s="3" t="n">
        <v>41704.0</v>
      </c>
      <c r="S223" s="3" t="n">
        <v>43832.980858159724</v>
      </c>
      <c r="T223" s="3" t="n">
        <v>43791.4536415625</v>
      </c>
      <c r="U223" t="s">
        <v>1450</v>
      </c>
      <c r="V223" t="s">
        <v>1451</v>
      </c>
    </row>
    <row r="224">
      <c r="A224" t="s">
        <v>22</v>
      </c>
      <c r="B224" t="s">
        <v>1452</v>
      </c>
      <c r="C224" t="s">
        <v>24</v>
      </c>
      <c r="D224" t="s">
        <v>25</v>
      </c>
      <c r="E224" t="s">
        <v>1453</v>
      </c>
      <c r="F224" s="2" t="n">
        <f>HYPERLINK("https://patents.google.com/patent/US20140057636","Google")</f>
        <v>0.0</v>
      </c>
      <c r="G224" s="2" t="n">
        <f>HYPERLINK("https://patentcenter.uspto.gov/applications/13972112","Patent Center")</f>
        <v>0.0</v>
      </c>
      <c r="H224" s="2" t="n">
        <f>HYPERLINK("https://worldwide.espacenet.com/patent/search?q=US20140057636","Espacenet")</f>
        <v>0.0</v>
      </c>
      <c r="I224" s="2" t="n">
        <f>HYPERLINK("https://ppubs.uspto.gov/pubwebapp/external.html?q=20140057636.pn.","USPTO")</f>
        <v>0.0</v>
      </c>
      <c r="J224" s="2" t="n">
        <f>HYPERLINK("https://image-ppubs.uspto.gov/dirsearch-public/print/downloadPdf/20140057636","USPTO PDF")</f>
        <v>0.0</v>
      </c>
      <c r="K224" s="2" t="n">
        <f>HYPERLINK("https://sectors.patentforecast.com/pmd/US20140057636","PMD")</f>
        <v>0.0</v>
      </c>
      <c r="L224" s="2" t="n">
        <f>HYPERLINK("https://globaldossier.uspto.gov/result/application/US/13972112/1","US20140057636")</f>
        <v>0.0</v>
      </c>
      <c r="M224" t="s">
        <v>1454</v>
      </c>
      <c r="N224" t="s">
        <v>1455</v>
      </c>
      <c r="O224" t="s">
        <v>1456</v>
      </c>
      <c r="P224" t="s">
        <v>1457</v>
      </c>
      <c r="Q224" s="3" t="n">
        <v>41507.0</v>
      </c>
      <c r="R224" s="3" t="n">
        <v>41697.0</v>
      </c>
      <c r="S224" s="3" t="n">
        <v>43791.48531506945</v>
      </c>
      <c r="T224" s="3" t="n">
        <v>43791.59592486111</v>
      </c>
      <c r="U224" t="s">
        <v>1458</v>
      </c>
      <c r="V224" t="s">
        <v>1459</v>
      </c>
    </row>
    <row r="225">
      <c r="A225" t="s">
        <v>22</v>
      </c>
      <c r="B225" t="s">
        <v>1460</v>
      </c>
      <c r="C225" t="s">
        <v>24</v>
      </c>
      <c r="D225" t="s">
        <v>25</v>
      </c>
      <c r="E225" t="s">
        <v>1453</v>
      </c>
      <c r="F225" s="2" t="n">
        <f>HYPERLINK("https://patents.google.com/patent/US20140057626","Google")</f>
        <v>0.0</v>
      </c>
      <c r="G225" s="2" t="n">
        <f>HYPERLINK("https://patentcenter.uspto.gov/applications/13972169","Patent Center")</f>
        <v>0.0</v>
      </c>
      <c r="H225" s="2" t="n">
        <f>HYPERLINK("https://worldwide.espacenet.com/patent/search?q=US20140057626","Espacenet")</f>
        <v>0.0</v>
      </c>
      <c r="I225" s="2" t="n">
        <f>HYPERLINK("https://ppubs.uspto.gov/pubwebapp/external.html?q=20140057626.pn.","USPTO")</f>
        <v>0.0</v>
      </c>
      <c r="J225" s="2" t="n">
        <f>HYPERLINK("https://image-ppubs.uspto.gov/dirsearch-public/print/downloadPdf/20140057626","USPTO PDF")</f>
        <v>0.0</v>
      </c>
      <c r="K225" s="2" t="n">
        <f>HYPERLINK("https://sectors.patentforecast.com/pmd/US20140057626","PMD")</f>
        <v>0.0</v>
      </c>
      <c r="L225" s="2" t="n">
        <f>HYPERLINK("https://globaldossier.uspto.gov/result/application/US/13972169/1","US20140057626")</f>
        <v>0.0</v>
      </c>
      <c r="M225" t="s">
        <v>1461</v>
      </c>
      <c r="N225" t="s">
        <v>1455</v>
      </c>
      <c r="O225" t="s">
        <v>1456</v>
      </c>
      <c r="P225" t="s">
        <v>1462</v>
      </c>
      <c r="Q225" s="3" t="n">
        <v>41507.0</v>
      </c>
      <c r="R225" s="3" t="n">
        <v>41697.0</v>
      </c>
      <c r="S225" s="3" t="n">
        <v>43791.485209976854</v>
      </c>
      <c r="T225" s="3" t="n">
        <v>43791.59592486111</v>
      </c>
      <c r="U225" t="s">
        <v>1463</v>
      </c>
      <c r="V225" t="s">
        <v>1464</v>
      </c>
    </row>
    <row r="226">
      <c r="A226" t="s">
        <v>22</v>
      </c>
      <c r="B226" t="s">
        <v>1465</v>
      </c>
      <c r="C226" t="s">
        <v>61</v>
      </c>
      <c r="D226" t="s">
        <v>61</v>
      </c>
      <c r="E226" t="s">
        <v>1466</v>
      </c>
      <c r="F226" s="2" t="n">
        <f>HYPERLINK("https://patents.google.com/patent/US20140047489","Google")</f>
        <v>0.0</v>
      </c>
      <c r="G226" s="2" t="n">
        <f>HYPERLINK("https://patentcenter.uspto.gov/applications/14054771","Patent Center")</f>
        <v>0.0</v>
      </c>
      <c r="H226" s="2" t="n">
        <f>HYPERLINK("https://worldwide.espacenet.com/patent/search?q=US20140047489","Espacenet")</f>
        <v>0.0</v>
      </c>
      <c r="I226" s="2" t="n">
        <f>HYPERLINK("https://ppubs.uspto.gov/pubwebapp/external.html?q=20140047489.pn.","USPTO")</f>
        <v>0.0</v>
      </c>
      <c r="J226" s="2" t="n">
        <f>HYPERLINK("https://image-ppubs.uspto.gov/dirsearch-public/print/downloadPdf/20140047489","USPTO PDF")</f>
        <v>0.0</v>
      </c>
      <c r="K226" s="2" t="n">
        <f>HYPERLINK("https://sectors.patentforecast.com/pmd/US20140047489","PMD")</f>
        <v>0.0</v>
      </c>
      <c r="L226" s="2" t="n">
        <f>HYPERLINK("https://globaldossier.uspto.gov/result/application/US/14054771/1","US20140047489")</f>
        <v>0.0</v>
      </c>
      <c r="M226" t="s">
        <v>1467</v>
      </c>
      <c r="N226" t="s">
        <v>1408</v>
      </c>
      <c r="O226" t="s">
        <v>1409</v>
      </c>
      <c r="P226" t="s">
        <v>1410</v>
      </c>
      <c r="Q226" s="3" t="n">
        <v>41562.0</v>
      </c>
      <c r="R226" s="3" t="n">
        <v>41683.0</v>
      </c>
      <c r="S226" s="3" t="n">
        <v>43796.0008655787</v>
      </c>
      <c r="T226" s="3" t="n">
        <v>43789.42486832176</v>
      </c>
      <c r="U226" t="s">
        <v>1411</v>
      </c>
      <c r="V226" t="s">
        <v>1468</v>
      </c>
    </row>
    <row r="227">
      <c r="A227" t="s">
        <v>22</v>
      </c>
      <c r="B227" t="s">
        <v>1469</v>
      </c>
      <c r="C227" t="s">
        <v>168</v>
      </c>
      <c r="D227" t="s">
        <v>168</v>
      </c>
      <c r="E227" t="s">
        <v>265</v>
      </c>
      <c r="F227" s="2" t="n">
        <f>HYPERLINK("https://patents.google.com/patent/US20130342011","Google")</f>
        <v>0.0</v>
      </c>
      <c r="G227" s="2" t="n">
        <f>HYPERLINK("https://patentcenter.uspto.gov/applications/13620086","Patent Center")</f>
        <v>0.0</v>
      </c>
      <c r="H227" s="2" t="n">
        <f>HYPERLINK("https://worldwide.espacenet.com/patent/search?q=US20130342011","Espacenet")</f>
        <v>0.0</v>
      </c>
      <c r="I227" s="2" t="n">
        <f>HYPERLINK("https://ppubs.uspto.gov/pubwebapp/external.html?q=20130342011.pn.","USPTO")</f>
        <v>0.0</v>
      </c>
      <c r="J227" s="2" t="n">
        <f>HYPERLINK("https://image-ppubs.uspto.gov/dirsearch-public/print/downloadPdf/20130342011","USPTO PDF")</f>
        <v>0.0</v>
      </c>
      <c r="K227" s="2" t="n">
        <f>HYPERLINK("https://sectors.patentforecast.com/pmd/US20130342011","PMD")</f>
        <v>0.0</v>
      </c>
      <c r="L227" s="2" t="n">
        <f>HYPERLINK("https://globaldossier.uspto.gov/result/application/US/13620086/1","US20130342011")</f>
        <v>0.0</v>
      </c>
      <c r="M227" t="s">
        <v>1470</v>
      </c>
      <c r="N227" t="s">
        <v>1200</v>
      </c>
      <c r="O227" t="s">
        <v>1201</v>
      </c>
      <c r="P227" t="s">
        <v>1471</v>
      </c>
      <c r="Q227" s="3" t="n">
        <v>41166.0</v>
      </c>
      <c r="R227" s="3" t="n">
        <v>41634.0</v>
      </c>
      <c r="S227" s="3" t="n">
        <v>43789.473864872685</v>
      </c>
      <c r="T227" s="3" t="n">
        <v>43789.56603515046</v>
      </c>
      <c r="U227" t="s">
        <v>1443</v>
      </c>
      <c r="V227" t="s">
        <v>1203</v>
      </c>
    </row>
    <row r="228">
      <c r="A228" t="s">
        <v>22</v>
      </c>
      <c r="B228" t="s">
        <v>1472</v>
      </c>
      <c r="C228" t="s">
        <v>61</v>
      </c>
      <c r="D228" t="s">
        <v>61</v>
      </c>
      <c r="E228" t="s">
        <v>1473</v>
      </c>
      <c r="F228" s="2" t="n">
        <f>HYPERLINK("https://patents.google.com/patent/US20130204458","Google")</f>
        <v>0.0</v>
      </c>
      <c r="G228" s="2" t="n">
        <f>HYPERLINK("https://patentcenter.uspto.gov/applications/13727952","Patent Center")</f>
        <v>0.0</v>
      </c>
      <c r="H228" s="2" t="n">
        <f>HYPERLINK("https://worldwide.espacenet.com/patent/search?q=US20130204458","Espacenet")</f>
        <v>0.0</v>
      </c>
      <c r="I228" s="2" t="n">
        <f>HYPERLINK("https://ppubs.uspto.gov/pubwebapp/external.html?q=20130204458.pn.","USPTO")</f>
        <v>0.0</v>
      </c>
      <c r="J228" s="2" t="n">
        <f>HYPERLINK("https://image-ppubs.uspto.gov/dirsearch-public/print/downloadPdf/20130204458","USPTO PDF")</f>
        <v>0.0</v>
      </c>
      <c r="K228" s="2" t="n">
        <f>HYPERLINK("https://sectors.patentforecast.com/pmd/US20130204458","PMD")</f>
        <v>0.0</v>
      </c>
      <c r="L228" s="2" t="n">
        <f>HYPERLINK("https://globaldossier.uspto.gov/result/application/US/13727952/1","US20130204458")</f>
        <v>0.0</v>
      </c>
      <c r="M228" t="s">
        <v>1474</v>
      </c>
      <c r="N228" t="s">
        <v>1475</v>
      </c>
      <c r="O228" t="s">
        <v>1476</v>
      </c>
      <c r="P228" t="s">
        <v>1477</v>
      </c>
      <c r="Q228" s="3" t="n">
        <v>41270.0</v>
      </c>
      <c r="R228" s="3" t="n">
        <v>41494.0</v>
      </c>
      <c r="S228" s="3" t="n">
        <v>43798.0030656713</v>
      </c>
      <c r="T228" s="3" t="n">
        <v>43801.416332974535</v>
      </c>
      <c r="U228" t="s">
        <v>1478</v>
      </c>
      <c r="V228" t="s">
        <v>1479</v>
      </c>
    </row>
    <row r="229">
      <c r="A229" t="s">
        <v>22</v>
      </c>
      <c r="B229" t="s">
        <v>1480</v>
      </c>
      <c r="C229" t="s">
        <v>24</v>
      </c>
      <c r="D229" t="s">
        <v>25</v>
      </c>
      <c r="E229" t="s">
        <v>1481</v>
      </c>
      <c r="F229" s="2" t="n">
        <f>HYPERLINK("https://patents.google.com/patent/US20130196593","Google")</f>
        <v>0.0</v>
      </c>
      <c r="G229" s="2" t="n">
        <f>HYPERLINK("https://patentcenter.uspto.gov/applications/13318025","Patent Center")</f>
        <v>0.0</v>
      </c>
      <c r="H229" s="2" t="n">
        <f>HYPERLINK("https://worldwide.espacenet.com/patent/search?q=US20130196593","Espacenet")</f>
        <v>0.0</v>
      </c>
      <c r="I229" s="2" t="n">
        <f>HYPERLINK("https://ppubs.uspto.gov/pubwebapp/external.html?q=20130196593.pn.","USPTO")</f>
        <v>0.0</v>
      </c>
      <c r="J229" s="2" t="n">
        <f>HYPERLINK("https://image-ppubs.uspto.gov/dirsearch-public/print/downloadPdf/20130196593","USPTO PDF")</f>
        <v>0.0</v>
      </c>
      <c r="K229" s="2" t="n">
        <f>HYPERLINK("https://sectors.patentforecast.com/pmd/US20130196593","PMD")</f>
        <v>0.0</v>
      </c>
      <c r="L229" s="2" t="n">
        <f>HYPERLINK("https://globaldossier.uspto.gov/result/application/US/13318025/1","US20130196593")</f>
        <v>0.0</v>
      </c>
      <c r="M229" t="s">
        <v>1482</v>
      </c>
      <c r="N229" t="s">
        <v>1085</v>
      </c>
      <c r="O229" t="s">
        <v>1086</v>
      </c>
      <c r="P229" t="s">
        <v>1483</v>
      </c>
      <c r="Q229" s="3" t="n">
        <v>40498.0</v>
      </c>
      <c r="R229" s="3" t="n">
        <v>41487.0</v>
      </c>
      <c r="S229" s="3" t="n">
        <v>43796.00086552084</v>
      </c>
      <c r="T229" s="3" t="n">
        <v>43789.44666214121</v>
      </c>
      <c r="U229" t="s">
        <v>1484</v>
      </c>
      <c r="V229" t="s">
        <v>1485</v>
      </c>
    </row>
    <row r="230">
      <c r="A230" t="s">
        <v>22</v>
      </c>
      <c r="B230" t="s">
        <v>1486</v>
      </c>
      <c r="C230" t="s">
        <v>24</v>
      </c>
      <c r="D230" t="s">
        <v>25</v>
      </c>
      <c r="E230" t="s">
        <v>1487</v>
      </c>
      <c r="F230" s="2" t="n">
        <f>HYPERLINK("https://patents.google.com/patent/US20130186828","Google")</f>
        <v>0.0</v>
      </c>
      <c r="G230" s="2" t="n">
        <f>HYPERLINK("https://patentcenter.uspto.gov/applications/13735181","Patent Center")</f>
        <v>0.0</v>
      </c>
      <c r="H230" s="2" t="n">
        <f>HYPERLINK("https://worldwide.espacenet.com/patent/search?q=US20130186828","Espacenet")</f>
        <v>0.0</v>
      </c>
      <c r="I230" s="2" t="n">
        <f>HYPERLINK("https://ppubs.uspto.gov/pubwebapp/external.html?q=20130186828.pn.","USPTO")</f>
        <v>0.0</v>
      </c>
      <c r="J230" s="2" t="n">
        <f>HYPERLINK("https://image-ppubs.uspto.gov/dirsearch-public/print/downloadPdf/20130186828","USPTO PDF")</f>
        <v>0.0</v>
      </c>
      <c r="K230" s="2" t="n">
        <f>HYPERLINK("https://sectors.patentforecast.com/pmd/US20130186828","PMD")</f>
        <v>0.0</v>
      </c>
      <c r="L230" s="2" t="n">
        <f>HYPERLINK("https://globaldossier.uspto.gov/result/application/US/13735181/1","US20130186828")</f>
        <v>0.0</v>
      </c>
      <c r="M230" t="s">
        <v>1488</v>
      </c>
      <c r="N230" t="s">
        <v>1489</v>
      </c>
      <c r="O230" t="s">
        <v>1490</v>
      </c>
      <c r="P230" t="s">
        <v>1491</v>
      </c>
      <c r="Q230" s="3" t="n">
        <v>41281.0</v>
      </c>
      <c r="R230" s="3" t="n">
        <v>41480.0</v>
      </c>
      <c r="S230" s="3" t="n">
        <v>43789.47397337963</v>
      </c>
      <c r="T230" s="3" t="n">
        <v>43790.36762222222</v>
      </c>
      <c r="U230" t="s">
        <v>1492</v>
      </c>
      <c r="V230" t="s">
        <v>1493</v>
      </c>
    </row>
    <row r="231">
      <c r="A231" t="s">
        <v>22</v>
      </c>
      <c r="B231" t="s">
        <v>1494</v>
      </c>
      <c r="C231" t="s">
        <v>168</v>
      </c>
      <c r="D231" t="s">
        <v>168</v>
      </c>
      <c r="E231" t="s">
        <v>1102</v>
      </c>
      <c r="F231" s="2" t="n">
        <f>HYPERLINK("https://patents.google.com/patent/US20130099563","Google")</f>
        <v>0.0</v>
      </c>
      <c r="G231" s="2" t="n">
        <f>HYPERLINK("https://patentcenter.uspto.gov/applications/13708520","Patent Center")</f>
        <v>0.0</v>
      </c>
      <c r="H231" s="2" t="n">
        <f>HYPERLINK("https://worldwide.espacenet.com/patent/search?q=US20130099563","Espacenet")</f>
        <v>0.0</v>
      </c>
      <c r="I231" s="2" t="n">
        <f>HYPERLINK("https://ppubs.uspto.gov/pubwebapp/external.html?q=20130099563.pn.","USPTO")</f>
        <v>0.0</v>
      </c>
      <c r="J231" s="2" t="n">
        <f>HYPERLINK("https://image-ppubs.uspto.gov/dirsearch-public/print/downloadPdf/20130099563","USPTO PDF")</f>
        <v>0.0</v>
      </c>
      <c r="K231" s="2" t="n">
        <f>HYPERLINK("https://sectors.patentforecast.com/pmd/US20130099563","PMD")</f>
        <v>0.0</v>
      </c>
      <c r="L231" s="2" t="n">
        <f>HYPERLINK("https://globaldossier.uspto.gov/result/application/US/13708520/1","US20130099563")</f>
        <v>0.0</v>
      </c>
      <c r="M231" t="s">
        <v>1495</v>
      </c>
      <c r="N231" t="s">
        <v>345</v>
      </c>
      <c r="O231" t="s">
        <v>346</v>
      </c>
      <c r="P231" t="s">
        <v>1496</v>
      </c>
      <c r="Q231" s="3" t="n">
        <v>41250.0</v>
      </c>
      <c r="R231" s="3" t="n">
        <v>41389.0</v>
      </c>
      <c r="S231" s="3" t="n">
        <v>43796.000865567126</v>
      </c>
      <c r="T231" s="3" t="n">
        <v>43789.69102302083</v>
      </c>
      <c r="U231" t="s">
        <v>1105</v>
      </c>
      <c r="V231" t="s">
        <v>1106</v>
      </c>
    </row>
    <row r="232">
      <c r="A232" t="s">
        <v>22</v>
      </c>
      <c r="B232" t="s">
        <v>1497</v>
      </c>
      <c r="C232" t="s">
        <v>24</v>
      </c>
      <c r="D232" t="s">
        <v>25</v>
      </c>
      <c r="E232" t="s">
        <v>1498</v>
      </c>
      <c r="F232" s="2" t="n">
        <f>HYPERLINK("https://patents.google.com/patent/US20130094369","Google")</f>
        <v>0.0</v>
      </c>
      <c r="G232" s="2" t="n">
        <f>HYPERLINK("https://patentcenter.uspto.gov/applications/13669092","Patent Center")</f>
        <v>0.0</v>
      </c>
      <c r="H232" s="2" t="n">
        <f>HYPERLINK("https://worldwide.espacenet.com/patent/search?q=US20130094369","Espacenet")</f>
        <v>0.0</v>
      </c>
      <c r="I232" s="2" t="n">
        <f>HYPERLINK("https://ppubs.uspto.gov/pubwebapp/external.html?q=20130094369.pn.","USPTO")</f>
        <v>0.0</v>
      </c>
      <c r="J232" s="2" t="n">
        <f>HYPERLINK("https://image-ppubs.uspto.gov/dirsearch-public/print/downloadPdf/20130094369","USPTO PDF")</f>
        <v>0.0</v>
      </c>
      <c r="K232" s="2" t="n">
        <f>HYPERLINK("https://sectors.patentforecast.com/pmd/US20130094369","PMD")</f>
        <v>0.0</v>
      </c>
      <c r="L232" s="2" t="n">
        <f>HYPERLINK("https://globaldossier.uspto.gov/result/application/US/13669092/1","US20130094369")</f>
        <v>0.0</v>
      </c>
      <c r="M232" t="s">
        <v>1499</v>
      </c>
      <c r="N232" t="s">
        <v>1408</v>
      </c>
      <c r="O232" t="s">
        <v>1409</v>
      </c>
      <c r="P232" t="s">
        <v>1500</v>
      </c>
      <c r="Q232" s="3" t="n">
        <v>41218.0</v>
      </c>
      <c r="R232" s="3" t="n">
        <v>41382.0</v>
      </c>
      <c r="S232" s="3" t="n">
        <v>43796.00086552084</v>
      </c>
      <c r="T232" s="3" t="n">
        <v>43789.43487875</v>
      </c>
      <c r="U232" t="s">
        <v>1411</v>
      </c>
      <c r="V232" t="s">
        <v>1501</v>
      </c>
    </row>
    <row r="233">
      <c r="A233" t="s">
        <v>22</v>
      </c>
      <c r="B233" t="s">
        <v>1502</v>
      </c>
      <c r="C233" t="s">
        <v>168</v>
      </c>
      <c r="D233" t="s">
        <v>168</v>
      </c>
      <c r="E233" t="s">
        <v>1503</v>
      </c>
      <c r="F233" s="2" t="n">
        <f>HYPERLINK("https://patents.google.com/patent/US20130070610","Google")</f>
        <v>0.0</v>
      </c>
      <c r="G233" s="2" t="n">
        <f>HYPERLINK("https://patentcenter.uspto.gov/applications/13586781","Patent Center")</f>
        <v>0.0</v>
      </c>
      <c r="H233" s="2" t="n">
        <f>HYPERLINK("https://worldwide.espacenet.com/patent/search?q=US20130070610","Espacenet")</f>
        <v>0.0</v>
      </c>
      <c r="I233" s="2" t="n">
        <f>HYPERLINK("https://ppubs.uspto.gov/pubwebapp/external.html?q=20130070610.pn.","USPTO")</f>
        <v>0.0</v>
      </c>
      <c r="J233" s="2" t="n">
        <f>HYPERLINK("https://image-ppubs.uspto.gov/dirsearch-public/print/downloadPdf/20130070610","USPTO PDF")</f>
        <v>0.0</v>
      </c>
      <c r="K233" s="2" t="n">
        <f>HYPERLINK("https://sectors.patentforecast.com/pmd/US20130070610","PMD")</f>
        <v>0.0</v>
      </c>
      <c r="L233" s="2" t="n">
        <f>HYPERLINK("https://globaldossier.uspto.gov/result/application/US/13586781/1","US20130070610")</f>
        <v>0.0</v>
      </c>
      <c r="M233" t="s">
        <v>1504</v>
      </c>
      <c r="N233" t="s">
        <v>1505</v>
      </c>
      <c r="O233" t="s">
        <v>1506</v>
      </c>
      <c r="P233" t="s">
        <v>1507</v>
      </c>
      <c r="Q233" s="3" t="n">
        <v>41136.0</v>
      </c>
      <c r="R233" s="3" t="n">
        <v>41354.0</v>
      </c>
      <c r="S233" s="3" t="n">
        <v>43791.29306971065</v>
      </c>
      <c r="T233" s="3" t="n">
        <v>43791.47230569444</v>
      </c>
      <c r="U233" t="s">
        <v>1508</v>
      </c>
      <c r="V233" t="s">
        <v>1509</v>
      </c>
    </row>
    <row r="234">
      <c r="A234" t="s">
        <v>22</v>
      </c>
      <c r="B234" t="s">
        <v>1510</v>
      </c>
      <c r="C234" t="s">
        <v>168</v>
      </c>
      <c r="D234" t="s">
        <v>168</v>
      </c>
      <c r="E234" t="s">
        <v>1511</v>
      </c>
      <c r="F234" s="2" t="n">
        <f>HYPERLINK("https://patents.google.com/patent/US20130069874","Google")</f>
        <v>0.0</v>
      </c>
      <c r="G234" s="2" t="n">
        <f>HYPERLINK("https://patentcenter.uspto.gov/applications/13200174","Patent Center")</f>
        <v>0.0</v>
      </c>
      <c r="H234" s="2" t="n">
        <f>HYPERLINK("https://worldwide.espacenet.com/patent/search?q=US20130069874","Espacenet")</f>
        <v>0.0</v>
      </c>
      <c r="I234" s="2" t="n">
        <f>HYPERLINK("https://ppubs.uspto.gov/pubwebapp/external.html?q=20130069874.pn.","USPTO")</f>
        <v>0.0</v>
      </c>
      <c r="J234" s="2" t="n">
        <f>HYPERLINK("https://image-ppubs.uspto.gov/dirsearch-public/print/downloadPdf/20130069874","USPTO PDF")</f>
        <v>0.0</v>
      </c>
      <c r="K234" s="2" t="n">
        <f>HYPERLINK("https://sectors.patentforecast.com/pmd/US20130069874","PMD")</f>
        <v>0.0</v>
      </c>
      <c r="L234" s="2" t="n">
        <f>HYPERLINK("https://globaldossier.uspto.gov/result/application/US/13200174/1","US20130069874")</f>
        <v>0.0</v>
      </c>
      <c r="M234" t="s">
        <v>1512</v>
      </c>
      <c r="N234" t="s">
        <v>1513</v>
      </c>
      <c r="O234" t="s">
        <v>1514</v>
      </c>
      <c r="P234" t="s">
        <v>1515</v>
      </c>
      <c r="Q234" s="3" t="n">
        <v>40805.0</v>
      </c>
      <c r="R234" s="3" t="n">
        <v>41354.0</v>
      </c>
      <c r="S234" s="3" t="n">
        <v>43789.47397337963</v>
      </c>
      <c r="T234" s="3" t="n">
        <v>43790.3558847338</v>
      </c>
      <c r="U234" t="s">
        <v>1516</v>
      </c>
      <c r="V234" t="s">
        <v>1517</v>
      </c>
    </row>
    <row r="235">
      <c r="A235" t="s">
        <v>22</v>
      </c>
      <c r="B235" t="s">
        <v>1518</v>
      </c>
      <c r="C235" t="s">
        <v>61</v>
      </c>
      <c r="D235" t="s">
        <v>61</v>
      </c>
      <c r="E235" t="s">
        <v>1519</v>
      </c>
      <c r="F235" s="2" t="n">
        <f>HYPERLINK("https://patents.google.com/patent/US20130064549","Google")</f>
        <v>0.0</v>
      </c>
      <c r="G235" s="2" t="n">
        <f>HYPERLINK("https://patentcenter.uspto.gov/applications/13669154","Patent Center")</f>
        <v>0.0</v>
      </c>
      <c r="H235" s="2" t="n">
        <f>HYPERLINK("https://worldwide.espacenet.com/patent/search?q=US20130064549","Espacenet")</f>
        <v>0.0</v>
      </c>
      <c r="I235" s="2" t="n">
        <f>HYPERLINK("https://ppubs.uspto.gov/pubwebapp/external.html?q=20130064549.pn.","USPTO")</f>
        <v>0.0</v>
      </c>
      <c r="J235" s="2" t="n">
        <f>HYPERLINK("https://image-ppubs.uspto.gov/dirsearch-public/print/downloadPdf/20130064549","USPTO PDF")</f>
        <v>0.0</v>
      </c>
      <c r="K235" s="2" t="n">
        <f>HYPERLINK("https://sectors.patentforecast.com/pmd/US20130064549","PMD")</f>
        <v>0.0</v>
      </c>
      <c r="L235" s="2" t="n">
        <f>HYPERLINK("https://globaldossier.uspto.gov/result/application/US/13669154/1","US20130064549")</f>
        <v>0.0</v>
      </c>
      <c r="M235" t="s">
        <v>1520</v>
      </c>
      <c r="N235" t="s">
        <v>1408</v>
      </c>
      <c r="O235" t="s">
        <v>1409</v>
      </c>
      <c r="P235" t="s">
        <v>1500</v>
      </c>
      <c r="Q235" s="3" t="n">
        <v>41218.0</v>
      </c>
      <c r="R235" s="3" t="n">
        <v>41347.0</v>
      </c>
      <c r="S235" s="3" t="n">
        <v>43788.41205849537</v>
      </c>
      <c r="T235" s="3" t="n">
        <v>43789.42504166667</v>
      </c>
      <c r="U235" t="s">
        <v>1411</v>
      </c>
      <c r="V235" t="s">
        <v>1521</v>
      </c>
    </row>
    <row r="236">
      <c r="A236" t="s">
        <v>22</v>
      </c>
      <c r="B236" t="s">
        <v>1522</v>
      </c>
      <c r="C236" t="s">
        <v>61</v>
      </c>
      <c r="D236" t="s">
        <v>61</v>
      </c>
      <c r="E236" t="s">
        <v>1466</v>
      </c>
      <c r="F236" s="2" t="n">
        <f>HYPERLINK("https://patents.google.com/patent/US20130064279","Google")</f>
        <v>0.0</v>
      </c>
      <c r="G236" s="2" t="n">
        <f>HYPERLINK("https://patentcenter.uspto.gov/applications/13669064","Patent Center")</f>
        <v>0.0</v>
      </c>
      <c r="H236" s="2" t="n">
        <f>HYPERLINK("https://worldwide.espacenet.com/patent/search?q=US20130064279","Espacenet")</f>
        <v>0.0</v>
      </c>
      <c r="I236" s="2" t="n">
        <f>HYPERLINK("https://ppubs.uspto.gov/pubwebapp/external.html?q=20130064279.pn.","USPTO")</f>
        <v>0.0</v>
      </c>
      <c r="J236" s="2" t="n">
        <f>HYPERLINK("https://image-ppubs.uspto.gov/dirsearch-public/print/downloadPdf/20130064279","USPTO PDF")</f>
        <v>0.0</v>
      </c>
      <c r="K236" s="2" t="n">
        <f>HYPERLINK("https://sectors.patentforecast.com/pmd/US20130064279","PMD")</f>
        <v>0.0</v>
      </c>
      <c r="L236" s="2" t="n">
        <f>HYPERLINK("https://globaldossier.uspto.gov/result/application/US/13669064/1","US20130064279")</f>
        <v>0.0</v>
      </c>
      <c r="M236" t="s">
        <v>1523</v>
      </c>
      <c r="N236" t="s">
        <v>1408</v>
      </c>
      <c r="O236" t="s">
        <v>1409</v>
      </c>
      <c r="P236" t="s">
        <v>1500</v>
      </c>
      <c r="Q236" s="3" t="n">
        <v>41218.0</v>
      </c>
      <c r="R236" s="3" t="n">
        <v>41347.0</v>
      </c>
      <c r="S236" s="3" t="n">
        <v>43788.41205849537</v>
      </c>
      <c r="T236" s="3" t="n">
        <v>43789.42527126157</v>
      </c>
      <c r="U236" t="s">
        <v>1411</v>
      </c>
      <c r="V236" t="s">
        <v>1468</v>
      </c>
    </row>
    <row r="237">
      <c r="A237" t="s">
        <v>22</v>
      </c>
      <c r="B237" t="s">
        <v>1524</v>
      </c>
      <c r="C237" t="s">
        <v>24</v>
      </c>
      <c r="D237" t="s">
        <v>25</v>
      </c>
      <c r="E237" t="s">
        <v>1525</v>
      </c>
      <c r="F237" s="2" t="n">
        <f>HYPERLINK("https://patents.google.com/patent/US20130039279","Google")</f>
        <v>0.0</v>
      </c>
      <c r="G237" s="2" t="n">
        <f>HYPERLINK("https://patentcenter.uspto.gov/applications/13648704","Patent Center")</f>
        <v>0.0</v>
      </c>
      <c r="H237" s="2" t="n">
        <f>HYPERLINK("https://worldwide.espacenet.com/patent/search?q=US20130039279","Espacenet")</f>
        <v>0.0</v>
      </c>
      <c r="I237" s="2" t="n">
        <f>HYPERLINK("https://ppubs.uspto.gov/pubwebapp/external.html?q=20130039279.pn.","USPTO")</f>
        <v>0.0</v>
      </c>
      <c r="J237" s="2" t="n">
        <f>HYPERLINK("https://image-ppubs.uspto.gov/dirsearch-public/print/downloadPdf/20130039279","USPTO PDF")</f>
        <v>0.0</v>
      </c>
      <c r="K237" s="2" t="n">
        <f>HYPERLINK("https://sectors.patentforecast.com/pmd/US20130039279","PMD")</f>
        <v>0.0</v>
      </c>
      <c r="L237" s="2" t="n">
        <f>HYPERLINK("https://globaldossier.uspto.gov/result/application/US/13648704/1","US20130039279")</f>
        <v>0.0</v>
      </c>
      <c r="M237" t="s">
        <v>1526</v>
      </c>
      <c r="N237" t="s">
        <v>1527</v>
      </c>
      <c r="O237" t="s">
        <v>1528</v>
      </c>
      <c r="P237" t="s">
        <v>1529</v>
      </c>
      <c r="Q237" s="3" t="n">
        <v>41192.0</v>
      </c>
      <c r="R237" s="3" t="n">
        <v>41319.0</v>
      </c>
      <c r="S237" s="3" t="n">
        <v>43790.72917457176</v>
      </c>
      <c r="T237" s="3" t="n">
        <v>43791.58868917824</v>
      </c>
      <c r="U237" t="s">
        <v>1530</v>
      </c>
      <c r="V237" t="s">
        <v>1531</v>
      </c>
    </row>
    <row r="238">
      <c r="A238" t="s">
        <v>22</v>
      </c>
      <c r="B238" t="s">
        <v>1532</v>
      </c>
      <c r="C238" t="s">
        <v>24</v>
      </c>
      <c r="D238" t="s">
        <v>25</v>
      </c>
      <c r="E238" t="s">
        <v>1345</v>
      </c>
      <c r="F238" s="2" t="n">
        <f>HYPERLINK("https://patents.google.com/patent/US20130028418","Google")</f>
        <v>0.0</v>
      </c>
      <c r="G238" s="2" t="n">
        <f>HYPERLINK("https://patentcenter.uspto.gov/applications/13628177","Patent Center")</f>
        <v>0.0</v>
      </c>
      <c r="H238" s="2" t="n">
        <f>HYPERLINK("https://worldwide.espacenet.com/patent/search?q=US20130028418","Espacenet")</f>
        <v>0.0</v>
      </c>
      <c r="I238" s="2" t="n">
        <f>HYPERLINK("https://ppubs.uspto.gov/pubwebapp/external.html?q=20130028418.pn.","USPTO")</f>
        <v>0.0</v>
      </c>
      <c r="J238" s="2" t="n">
        <f>HYPERLINK("https://image-ppubs.uspto.gov/dirsearch-public/print/downloadPdf/20130028418","USPTO PDF")</f>
        <v>0.0</v>
      </c>
      <c r="K238" s="2" t="n">
        <f>HYPERLINK("https://sectors.patentforecast.com/pmd/US20130028418","PMD")</f>
        <v>0.0</v>
      </c>
      <c r="L238" s="2" t="n">
        <f>HYPERLINK("https://globaldossier.uspto.gov/result/application/US/13628177/1","US20130028418")</f>
        <v>0.0</v>
      </c>
      <c r="M238" t="s">
        <v>1533</v>
      </c>
      <c r="N238" t="s">
        <v>1275</v>
      </c>
      <c r="O238" t="s">
        <v>1275</v>
      </c>
      <c r="P238" t="s">
        <v>1534</v>
      </c>
      <c r="Q238" s="3" t="n">
        <v>41179.0</v>
      </c>
      <c r="R238" s="3" t="n">
        <v>41305.0</v>
      </c>
      <c r="S238" s="3" t="n">
        <v>43791.50672763889</v>
      </c>
      <c r="T238" s="3" t="n">
        <v>43791.52660305556</v>
      </c>
      <c r="U238" t="s">
        <v>1348</v>
      </c>
      <c r="V238" t="s">
        <v>1349</v>
      </c>
    </row>
    <row r="239">
      <c r="A239" t="s">
        <v>22</v>
      </c>
      <c r="B239" t="s">
        <v>1535</v>
      </c>
      <c r="C239" t="s">
        <v>24</v>
      </c>
      <c r="D239" t="s">
        <v>25</v>
      </c>
      <c r="E239" t="s">
        <v>1536</v>
      </c>
      <c r="F239" s="2" t="n">
        <f>HYPERLINK("https://patents.google.com/patent/US20130004179","Google")</f>
        <v>0.0</v>
      </c>
      <c r="G239" s="2" t="n">
        <f>HYPERLINK("https://patentcenter.uspto.gov/applications/13539383","Patent Center")</f>
        <v>0.0</v>
      </c>
      <c r="H239" s="2" t="n">
        <f>HYPERLINK("https://worldwide.espacenet.com/patent/search?q=US20130004179","Espacenet")</f>
        <v>0.0</v>
      </c>
      <c r="I239" s="2" t="n">
        <f>HYPERLINK("https://ppubs.uspto.gov/pubwebapp/external.html?q=20130004179.pn.","USPTO")</f>
        <v>0.0</v>
      </c>
      <c r="J239" s="2" t="n">
        <f>HYPERLINK("https://image-ppubs.uspto.gov/dirsearch-public/print/downloadPdf/20130004179","USPTO PDF")</f>
        <v>0.0</v>
      </c>
      <c r="K239" s="2" t="n">
        <f>HYPERLINK("https://sectors.patentforecast.com/pmd/US20130004179","PMD")</f>
        <v>0.0</v>
      </c>
      <c r="L239" s="2" t="n">
        <f>HYPERLINK("https://globaldossier.uspto.gov/result/application/US/13539383/1","US20130004179")</f>
        <v>0.0</v>
      </c>
      <c r="M239" t="s">
        <v>1537</v>
      </c>
      <c r="N239" t="s">
        <v>1408</v>
      </c>
      <c r="O239" t="s">
        <v>1409</v>
      </c>
      <c r="P239" t="s">
        <v>1500</v>
      </c>
      <c r="Q239" s="3" t="n">
        <v>41090.0</v>
      </c>
      <c r="R239" s="3" t="n">
        <v>41277.0</v>
      </c>
      <c r="S239" s="3" t="n">
        <v>43788.41205849537</v>
      </c>
      <c r="T239" s="3" t="n">
        <v>43789.40231194445</v>
      </c>
      <c r="U239" t="s">
        <v>1411</v>
      </c>
      <c r="V239" t="s">
        <v>1538</v>
      </c>
    </row>
    <row r="240">
      <c r="A240" t="s">
        <v>22</v>
      </c>
      <c r="B240" t="s">
        <v>1539</v>
      </c>
      <c r="C240" t="s">
        <v>168</v>
      </c>
      <c r="D240" t="s">
        <v>168</v>
      </c>
      <c r="E240" t="s">
        <v>1540</v>
      </c>
      <c r="F240" s="2" t="n">
        <f>HYPERLINK("https://patents.google.com/patent/US20120313742","Google")</f>
        <v>0.0</v>
      </c>
      <c r="G240" s="2" t="n">
        <f>HYPERLINK("https://patentcenter.uspto.gov/applications/13536435","Patent Center")</f>
        <v>0.0</v>
      </c>
      <c r="H240" s="2" t="n">
        <f>HYPERLINK("https://worldwide.espacenet.com/patent/search?q=US20120313742","Espacenet")</f>
        <v>0.0</v>
      </c>
      <c r="I240" s="2" t="n">
        <f>HYPERLINK("https://ppubs.uspto.gov/pubwebapp/external.html?q=20120313742.pn.","USPTO")</f>
        <v>0.0</v>
      </c>
      <c r="J240" s="2" t="n">
        <f>HYPERLINK("https://image-ppubs.uspto.gov/dirsearch-public/print/downloadPdf/20120313742","USPTO PDF")</f>
        <v>0.0</v>
      </c>
      <c r="K240" s="2" t="n">
        <f>HYPERLINK("https://sectors.patentforecast.com/pmd/US20120313742","PMD")</f>
        <v>0.0</v>
      </c>
      <c r="L240" s="2" t="n">
        <f>HYPERLINK("https://globaldossier.uspto.gov/result/application/US/13536435/1","US20120313742")</f>
        <v>0.0</v>
      </c>
      <c r="M240" t="s">
        <v>1541</v>
      </c>
      <c r="N240" t="s">
        <v>1288</v>
      </c>
      <c r="O240" t="s">
        <v>1289</v>
      </c>
      <c r="P240" t="s">
        <v>1542</v>
      </c>
      <c r="Q240" s="3" t="n">
        <v>41088.0</v>
      </c>
      <c r="R240" s="3" t="n">
        <v>41256.0</v>
      </c>
      <c r="S240" s="3" t="n">
        <v>43789.473864872685</v>
      </c>
      <c r="T240" s="3" t="n">
        <v>43789.48528412037</v>
      </c>
      <c r="U240" t="s">
        <v>1543</v>
      </c>
      <c r="V240" t="s">
        <v>1544</v>
      </c>
    </row>
    <row r="241">
      <c r="A241" t="s">
        <v>22</v>
      </c>
      <c r="B241" t="s">
        <v>1545</v>
      </c>
      <c r="C241" t="s">
        <v>52</v>
      </c>
      <c r="D241" t="s">
        <v>52</v>
      </c>
      <c r="E241" t="s">
        <v>1546</v>
      </c>
      <c r="F241" s="2" t="n">
        <f>HYPERLINK("https://patents.google.com/patent/US20120309421","Google")</f>
        <v>0.0</v>
      </c>
      <c r="G241" s="2" t="n">
        <f>HYPERLINK("https://patentcenter.uspto.gov/applications/13577264","Patent Center")</f>
        <v>0.0</v>
      </c>
      <c r="H241" s="2" t="n">
        <f>HYPERLINK("https://worldwide.espacenet.com/patent/search?q=US20120309421","Espacenet")</f>
        <v>0.0</v>
      </c>
      <c r="I241" s="2" t="n">
        <f>HYPERLINK("https://ppubs.uspto.gov/pubwebapp/external.html?q=20120309421.pn.","USPTO")</f>
        <v>0.0</v>
      </c>
      <c r="J241" s="2" t="n">
        <f>HYPERLINK("https://image-ppubs.uspto.gov/dirsearch-public/print/downloadPdf/20120309421","USPTO PDF")</f>
        <v>0.0</v>
      </c>
      <c r="K241" s="2" t="n">
        <f>HYPERLINK("https://sectors.patentforecast.com/pmd/US20120309421","PMD")</f>
        <v>0.0</v>
      </c>
      <c r="L241" s="2" t="n">
        <f>HYPERLINK("https://globaldossier.uspto.gov/result/application/US/13577264/1","US20120309421")</f>
        <v>0.0</v>
      </c>
      <c r="M241" t="s">
        <v>1547</v>
      </c>
      <c r="N241" t="s">
        <v>1548</v>
      </c>
      <c r="O241" t="s">
        <v>1549</v>
      </c>
      <c r="P241" t="s">
        <v>1550</v>
      </c>
      <c r="Q241" s="3" t="n">
        <v>40297.0</v>
      </c>
      <c r="R241" s="3" t="n">
        <v>41249.0</v>
      </c>
      <c r="S241" s="3" t="n">
        <v>43789.56459916667</v>
      </c>
      <c r="T241" s="3" t="n">
        <v>43789.60822015046</v>
      </c>
      <c r="U241" t="s">
        <v>1551</v>
      </c>
      <c r="V241" t="s">
        <v>1552</v>
      </c>
    </row>
    <row r="242">
      <c r="A242" t="s">
        <v>22</v>
      </c>
      <c r="B242" t="s">
        <v>1553</v>
      </c>
      <c r="C242" t="s">
        <v>168</v>
      </c>
      <c r="D242" t="s">
        <v>168</v>
      </c>
      <c r="E242" t="s">
        <v>1554</v>
      </c>
      <c r="F242" s="2" t="n">
        <f>HYPERLINK("https://patents.google.com/patent/US20120256585","Google")</f>
        <v>0.0</v>
      </c>
      <c r="G242" s="2" t="n">
        <f>HYPERLINK("https://patentcenter.uspto.gov/applications/13442698","Patent Center")</f>
        <v>0.0</v>
      </c>
      <c r="H242" s="2" t="n">
        <f>HYPERLINK("https://worldwide.espacenet.com/patent/search?q=US20120256585","Espacenet")</f>
        <v>0.0</v>
      </c>
      <c r="I242" s="2" t="n">
        <f>HYPERLINK("https://ppubs.uspto.gov/pubwebapp/external.html?q=20120256585.pn.","USPTO")</f>
        <v>0.0</v>
      </c>
      <c r="J242" s="2" t="n">
        <f>HYPERLINK("https://image-ppubs.uspto.gov/dirsearch-public/print/downloadPdf/20120256585","USPTO PDF")</f>
        <v>0.0</v>
      </c>
      <c r="K242" s="2" t="n">
        <f>HYPERLINK("https://sectors.patentforecast.com/pmd/US20120256585","PMD")</f>
        <v>0.0</v>
      </c>
      <c r="L242" s="2" t="n">
        <f>HYPERLINK("https://globaldossier.uspto.gov/result/application/US/13442698/1","US20120256585")</f>
        <v>0.0</v>
      </c>
      <c r="M242" t="s">
        <v>1555</v>
      </c>
      <c r="N242" t="s">
        <v>345</v>
      </c>
      <c r="O242" t="s">
        <v>346</v>
      </c>
      <c r="P242" t="s">
        <v>1556</v>
      </c>
      <c r="Q242" s="3" t="n">
        <v>41008.0</v>
      </c>
      <c r="R242" s="3" t="n">
        <v>41193.0</v>
      </c>
      <c r="S242" s="3" t="n">
        <v>43789.473864872685</v>
      </c>
      <c r="T242" s="3" t="n">
        <v>43790.38110613426</v>
      </c>
      <c r="U242" t="s">
        <v>1557</v>
      </c>
      <c r="V242" t="s">
        <v>1558</v>
      </c>
    </row>
    <row r="243">
      <c r="A243" t="s">
        <v>22</v>
      </c>
      <c r="B243" t="s">
        <v>1559</v>
      </c>
      <c r="C243" t="s">
        <v>168</v>
      </c>
      <c r="D243" t="s">
        <v>168</v>
      </c>
      <c r="E243" t="s">
        <v>1560</v>
      </c>
      <c r="F243" s="2" t="n">
        <f>HYPERLINK("https://patents.google.com/patent/US20120151240","Google")</f>
        <v>0.0</v>
      </c>
      <c r="G243" s="2" t="n">
        <f>HYPERLINK("https://patentcenter.uspto.gov/applications/12815994","Patent Center")</f>
        <v>0.0</v>
      </c>
      <c r="H243" s="2" t="n">
        <f>HYPERLINK("https://worldwide.espacenet.com/patent/search?q=US20120151240","Espacenet")</f>
        <v>0.0</v>
      </c>
      <c r="I243" s="2" t="n">
        <f>HYPERLINK("https://ppubs.uspto.gov/pubwebapp/external.html?q=20120151240.pn.","USPTO")</f>
        <v>0.0</v>
      </c>
      <c r="J243" s="2" t="n">
        <f>HYPERLINK("https://image-ppubs.uspto.gov/dirsearch-public/print/downloadPdf/20120151240","USPTO PDF")</f>
        <v>0.0</v>
      </c>
      <c r="K243" s="2" t="n">
        <f>HYPERLINK("https://sectors.patentforecast.com/pmd/US20120151240","PMD")</f>
        <v>0.0</v>
      </c>
      <c r="L243" s="2" t="n">
        <f>HYPERLINK("https://globaldossier.uspto.gov/result/application/US/12815994/1","US20120151240")</f>
        <v>0.0</v>
      </c>
      <c r="M243" t="s">
        <v>1561</v>
      </c>
      <c r="N243" t="s">
        <v>1200</v>
      </c>
      <c r="O243" t="s">
        <v>1201</v>
      </c>
      <c r="P243" t="s">
        <v>269</v>
      </c>
      <c r="Q243" s="3" t="n">
        <v>40344.0</v>
      </c>
      <c r="R243" s="3" t="n">
        <v>41074.0</v>
      </c>
      <c r="S243" s="3" t="n">
        <v>43789.473864872685</v>
      </c>
      <c r="T243" s="3" t="n">
        <v>43789.50860659722</v>
      </c>
      <c r="U243" t="s">
        <v>1443</v>
      </c>
      <c r="V243" t="s">
        <v>1562</v>
      </c>
    </row>
    <row r="244">
      <c r="A244" t="s">
        <v>22</v>
      </c>
      <c r="B244" t="s">
        <v>1563</v>
      </c>
      <c r="C244" t="s">
        <v>168</v>
      </c>
      <c r="D244" t="s">
        <v>168</v>
      </c>
      <c r="E244" t="s">
        <v>1564</v>
      </c>
      <c r="F244" s="2" t="n">
        <f>HYPERLINK("https://patents.google.com/patent/US20120122522","Google")</f>
        <v>0.0</v>
      </c>
      <c r="G244" s="2" t="n">
        <f>HYPERLINK("https://patentcenter.uspto.gov/applications/13291575","Patent Center")</f>
        <v>0.0</v>
      </c>
      <c r="H244" s="2" t="n">
        <f>HYPERLINK("https://worldwide.espacenet.com/patent/search?q=US20120122522","Espacenet")</f>
        <v>0.0</v>
      </c>
      <c r="I244" s="2" t="n">
        <f>HYPERLINK("https://ppubs.uspto.gov/pubwebapp/external.html?q=20120122522.pn.","USPTO")</f>
        <v>0.0</v>
      </c>
      <c r="J244" s="2" t="n">
        <f>HYPERLINK("https://image-ppubs.uspto.gov/dirsearch-public/print/downloadPdf/20120122522","USPTO PDF")</f>
        <v>0.0</v>
      </c>
      <c r="K244" s="2" t="n">
        <f>HYPERLINK("https://sectors.patentforecast.com/pmd/US20120122522","PMD")</f>
        <v>0.0</v>
      </c>
      <c r="L244" s="2" t="n">
        <f>HYPERLINK("https://globaldossier.uspto.gov/result/application/US/13291575/1","US20120122522")</f>
        <v>0.0</v>
      </c>
      <c r="M244" t="s">
        <v>1565</v>
      </c>
      <c r="N244" t="s">
        <v>72</v>
      </c>
      <c r="O244" t="s">
        <v>73</v>
      </c>
      <c r="P244" t="s">
        <v>1566</v>
      </c>
      <c r="Q244" s="3" t="n">
        <v>40855.0</v>
      </c>
      <c r="R244" s="3" t="n">
        <v>41046.0</v>
      </c>
      <c r="S244" s="3" t="n">
        <v>43789.56471119213</v>
      </c>
      <c r="T244" s="3" t="n">
        <v>43789.62382363426</v>
      </c>
      <c r="U244" t="s">
        <v>1567</v>
      </c>
      <c r="V244" t="s">
        <v>1568</v>
      </c>
    </row>
    <row r="245">
      <c r="A245" t="s">
        <v>22</v>
      </c>
      <c r="B245" t="s">
        <v>1569</v>
      </c>
      <c r="C245" t="s">
        <v>24</v>
      </c>
      <c r="D245" t="s">
        <v>25</v>
      </c>
      <c r="E245" t="s">
        <v>1570</v>
      </c>
      <c r="F245" s="2" t="n">
        <f>HYPERLINK("https://patents.google.com/patent/US20120111912","Google")</f>
        <v>0.0</v>
      </c>
      <c r="G245" s="2" t="n">
        <f>HYPERLINK("https://patentcenter.uspto.gov/applications/13351375","Patent Center")</f>
        <v>0.0</v>
      </c>
      <c r="H245" s="2" t="n">
        <f>HYPERLINK("https://worldwide.espacenet.com/patent/search?q=US20120111912","Espacenet")</f>
        <v>0.0</v>
      </c>
      <c r="I245" s="2" t="n">
        <f>HYPERLINK("https://ppubs.uspto.gov/pubwebapp/external.html?q=20120111912.pn.","USPTO")</f>
        <v>0.0</v>
      </c>
      <c r="J245" s="2" t="n">
        <f>HYPERLINK("https://image-ppubs.uspto.gov/dirsearch-public/print/downloadPdf/20120111912","USPTO PDF")</f>
        <v>0.0</v>
      </c>
      <c r="K245" s="2" t="n">
        <f>HYPERLINK("https://sectors.patentforecast.com/pmd/US20120111912","PMD")</f>
        <v>0.0</v>
      </c>
      <c r="L245" s="2" t="n">
        <f>HYPERLINK("https://globaldossier.uspto.gov/result/application/US/13351375/1","US20120111912")</f>
        <v>0.0</v>
      </c>
      <c r="M245" t="s">
        <v>1571</v>
      </c>
      <c r="N245" t="s">
        <v>1572</v>
      </c>
      <c r="O245" t="s">
        <v>1573</v>
      </c>
      <c r="P245" t="s">
        <v>1574</v>
      </c>
      <c r="Q245" s="3" t="n">
        <v>40925.0</v>
      </c>
      <c r="R245" s="3" t="n">
        <v>41039.0</v>
      </c>
      <c r="S245" s="3" t="n">
        <v>43787.479875219906</v>
      </c>
      <c r="T245" s="3" t="n">
        <v>43791.46381488426</v>
      </c>
      <c r="U245" t="s">
        <v>1575</v>
      </c>
      <c r="V245" t="s">
        <v>1576</v>
      </c>
    </row>
    <row r="246">
      <c r="A246" t="s">
        <v>22</v>
      </c>
      <c r="B246" t="s">
        <v>1577</v>
      </c>
      <c r="C246" t="s">
        <v>24</v>
      </c>
      <c r="D246" t="s">
        <v>25</v>
      </c>
      <c r="E246" t="s">
        <v>1578</v>
      </c>
      <c r="F246" s="2" t="n">
        <f>HYPERLINK("https://patents.google.com/patent/US20120102320","Google")</f>
        <v>0.0</v>
      </c>
      <c r="G246" s="2" t="n">
        <f>HYPERLINK("https://patentcenter.uspto.gov/applications/13341420","Patent Center")</f>
        <v>0.0</v>
      </c>
      <c r="H246" s="2" t="n">
        <f>HYPERLINK("https://worldwide.espacenet.com/patent/search?q=US20120102320","Espacenet")</f>
        <v>0.0</v>
      </c>
      <c r="I246" s="2" t="n">
        <f>HYPERLINK("https://ppubs.uspto.gov/pubwebapp/external.html?q=20120102320.pn.","USPTO")</f>
        <v>0.0</v>
      </c>
      <c r="J246" s="2" t="n">
        <f>HYPERLINK("https://image-ppubs.uspto.gov/dirsearch-public/print/downloadPdf/20120102320","USPTO PDF")</f>
        <v>0.0</v>
      </c>
      <c r="K246" s="2" t="n">
        <f>HYPERLINK("https://sectors.patentforecast.com/pmd/US20120102320","PMD")</f>
        <v>0.0</v>
      </c>
      <c r="L246" s="2" t="n">
        <f>HYPERLINK("https://globaldossier.uspto.gov/result/application/US/13341420/1","US20120102320")</f>
        <v>0.0</v>
      </c>
      <c r="M246" t="s">
        <v>1579</v>
      </c>
      <c r="N246" t="s">
        <v>1275</v>
      </c>
      <c r="O246" t="s">
        <v>1275</v>
      </c>
      <c r="P246" t="s">
        <v>1580</v>
      </c>
      <c r="Q246" s="3" t="n">
        <v>40907.0</v>
      </c>
      <c r="R246" s="3" t="n">
        <v>41025.0</v>
      </c>
      <c r="S246" s="3" t="n">
        <v>43791.50672763889</v>
      </c>
      <c r="T246" s="3" t="n">
        <v>43791.52292998842</v>
      </c>
      <c r="U246" t="s">
        <v>1581</v>
      </c>
      <c r="V246" t="s">
        <v>1582</v>
      </c>
    </row>
    <row r="247">
      <c r="A247" t="s">
        <v>22</v>
      </c>
      <c r="B247" t="s">
        <v>1583</v>
      </c>
      <c r="C247" t="s">
        <v>168</v>
      </c>
      <c r="D247" t="s">
        <v>168</v>
      </c>
      <c r="E247" t="s">
        <v>1584</v>
      </c>
      <c r="F247" s="2" t="n">
        <f>HYPERLINK("https://patents.google.com/patent/US20120026995","Google")</f>
        <v>0.0</v>
      </c>
      <c r="G247" s="2" t="n">
        <f>HYPERLINK("https://patentcenter.uspto.gov/applications/13136552","Patent Center")</f>
        <v>0.0</v>
      </c>
      <c r="H247" s="2" t="n">
        <f>HYPERLINK("https://worldwide.espacenet.com/patent/search?q=US20120026995","Espacenet")</f>
        <v>0.0</v>
      </c>
      <c r="I247" s="2" t="n">
        <f>HYPERLINK("https://ppubs.uspto.gov/pubwebapp/external.html?q=20120026995.pn.","USPTO")</f>
        <v>0.0</v>
      </c>
      <c r="J247" s="2" t="n">
        <f>HYPERLINK("https://image-ppubs.uspto.gov/dirsearch-public/print/downloadPdf/20120026995","USPTO PDF")</f>
        <v>0.0</v>
      </c>
      <c r="K247" s="2" t="n">
        <f>HYPERLINK("https://sectors.patentforecast.com/pmd/US20120026995","PMD")</f>
        <v>0.0</v>
      </c>
      <c r="L247" s="2" t="n">
        <f>HYPERLINK("https://globaldossier.uspto.gov/result/application/US/13136552/1","US20120026995")</f>
        <v>0.0</v>
      </c>
      <c r="M247" t="s">
        <v>1585</v>
      </c>
      <c r="N247" t="s">
        <v>1586</v>
      </c>
      <c r="O247" t="s">
        <v>1587</v>
      </c>
      <c r="P247" t="s">
        <v>1588</v>
      </c>
      <c r="Q247" s="3" t="n">
        <v>40759.0</v>
      </c>
      <c r="R247" s="3" t="n">
        <v>40941.0</v>
      </c>
      <c r="S247" s="3" t="n">
        <v>43790.786968796296</v>
      </c>
      <c r="T247" s="3" t="n">
        <v>43791.47400793982</v>
      </c>
      <c r="U247" t="s">
        <v>1589</v>
      </c>
      <c r="V247" t="s">
        <v>1590</v>
      </c>
    </row>
    <row r="248">
      <c r="A248" t="s">
        <v>22</v>
      </c>
      <c r="B248" t="s">
        <v>1591</v>
      </c>
      <c r="C248" t="s">
        <v>24</v>
      </c>
      <c r="D248" t="s">
        <v>25</v>
      </c>
      <c r="E248" t="s">
        <v>1592</v>
      </c>
      <c r="F248" s="2" t="n">
        <f>HYPERLINK("https://patents.google.com/patent/US20110300805","Google")</f>
        <v>0.0</v>
      </c>
      <c r="G248" s="2" t="n">
        <f>HYPERLINK("https://patentcenter.uspto.gov/applications/12794609","Patent Center")</f>
        <v>0.0</v>
      </c>
      <c r="H248" s="2" t="n">
        <f>HYPERLINK("https://worldwide.espacenet.com/patent/search?q=US20110300805","Espacenet")</f>
        <v>0.0</v>
      </c>
      <c r="I248" s="2" t="n">
        <f>HYPERLINK("https://ppubs.uspto.gov/pubwebapp/external.html?q=20110300805.pn.","USPTO")</f>
        <v>0.0</v>
      </c>
      <c r="J248" s="2" t="n">
        <f>HYPERLINK("https://image-ppubs.uspto.gov/dirsearch-public/print/downloadPdf/20110300805","USPTO PDF")</f>
        <v>0.0</v>
      </c>
      <c r="K248" s="2" t="n">
        <f>HYPERLINK("https://sectors.patentforecast.com/pmd/US20110300805","PMD")</f>
        <v>0.0</v>
      </c>
      <c r="L248" s="2" t="n">
        <f>HYPERLINK("https://globaldossier.uspto.gov/result/application/US/12794609/1","US20110300805")</f>
        <v>0.0</v>
      </c>
      <c r="M248" t="s">
        <v>1593</v>
      </c>
      <c r="N248" t="s">
        <v>901</v>
      </c>
      <c r="O248" t="s">
        <v>902</v>
      </c>
      <c r="P248" t="s">
        <v>1594</v>
      </c>
      <c r="Q248" s="3" t="n">
        <v>40333.0</v>
      </c>
      <c r="R248" s="3" t="n">
        <v>40885.0</v>
      </c>
      <c r="S248" s="3" t="n">
        <v>43788.66355877315</v>
      </c>
      <c r="T248" s="3" t="n">
        <v>43788.66773074074</v>
      </c>
      <c r="U248" t="s">
        <v>1595</v>
      </c>
      <c r="V248" t="s">
        <v>1596</v>
      </c>
    </row>
    <row r="249">
      <c r="A249" t="s">
        <v>22</v>
      </c>
      <c r="B249" t="s">
        <v>1597</v>
      </c>
      <c r="C249" t="s">
        <v>24</v>
      </c>
      <c r="D249" t="s">
        <v>25</v>
      </c>
      <c r="E249" t="s">
        <v>1598</v>
      </c>
      <c r="F249" s="2" t="n">
        <f>HYPERLINK("https://patents.google.com/patent/US20110291900","Google")</f>
        <v>0.0</v>
      </c>
      <c r="G249" s="2" t="n">
        <f>HYPERLINK("https://patentcenter.uspto.gov/applications/12787962","Patent Center")</f>
        <v>0.0</v>
      </c>
      <c r="H249" s="2" t="n">
        <f>HYPERLINK("https://worldwide.espacenet.com/patent/search?q=US20110291900","Espacenet")</f>
        <v>0.0</v>
      </c>
      <c r="I249" s="2" t="n">
        <f>HYPERLINK("https://ppubs.uspto.gov/pubwebapp/external.html?q=20110291900.pn.","USPTO")</f>
        <v>0.0</v>
      </c>
      <c r="J249" s="2" t="n">
        <f>HYPERLINK("https://image-ppubs.uspto.gov/dirsearch-public/print/downloadPdf/20110291900","USPTO PDF")</f>
        <v>0.0</v>
      </c>
      <c r="K249" s="2" t="n">
        <f>HYPERLINK("https://sectors.patentforecast.com/pmd/US20110291900","PMD")</f>
        <v>0.0</v>
      </c>
      <c r="L249" s="2" t="n">
        <f>HYPERLINK("https://globaldossier.uspto.gov/result/application/US/12787962/1","US20110291900")</f>
        <v>0.0</v>
      </c>
      <c r="M249" t="s">
        <v>1599</v>
      </c>
      <c r="N249" t="s">
        <v>1600</v>
      </c>
      <c r="O249" t="s">
        <v>1600</v>
      </c>
      <c r="P249" t="s">
        <v>1601</v>
      </c>
      <c r="Q249" s="3" t="n">
        <v>40324.0</v>
      </c>
      <c r="R249" s="3" t="n">
        <v>40878.0</v>
      </c>
      <c r="S249" s="3" t="n">
        <v>43788.41205849537</v>
      </c>
      <c r="T249" s="3" t="n">
        <v>43789.44645427083</v>
      </c>
      <c r="U249" t="s">
        <v>1602</v>
      </c>
      <c r="V249" t="s">
        <v>1603</v>
      </c>
    </row>
    <row r="250">
      <c r="A250" t="s">
        <v>22</v>
      </c>
      <c r="B250" t="s">
        <v>1604</v>
      </c>
      <c r="C250" t="s">
        <v>168</v>
      </c>
      <c r="D250" t="s">
        <v>168</v>
      </c>
      <c r="E250" t="s">
        <v>1605</v>
      </c>
      <c r="F250" s="2" t="n">
        <f>HYPERLINK("https://patents.google.com/patent/US20110228701","Google")</f>
        <v>0.0</v>
      </c>
      <c r="G250" s="2" t="n">
        <f>HYPERLINK("https://patentcenter.uspto.gov/applications/12907885","Patent Center")</f>
        <v>0.0</v>
      </c>
      <c r="H250" s="2" t="n">
        <f>HYPERLINK("https://worldwide.espacenet.com/patent/search?q=US20110228701","Espacenet")</f>
        <v>0.0</v>
      </c>
      <c r="I250" s="2" t="n">
        <f>HYPERLINK("https://ppubs.uspto.gov/pubwebapp/external.html?q=20110228701.pn.","USPTO")</f>
        <v>0.0</v>
      </c>
      <c r="J250" s="2" t="n">
        <f>HYPERLINK("https://image-ppubs.uspto.gov/dirsearch-public/print/downloadPdf/20110228701","USPTO PDF")</f>
        <v>0.0</v>
      </c>
      <c r="K250" s="2" t="n">
        <f>HYPERLINK("https://sectors.patentforecast.com/pmd/US20110228701","PMD")</f>
        <v>0.0</v>
      </c>
      <c r="L250" s="2" t="n">
        <f>HYPERLINK("https://globaldossier.uspto.gov/result/application/US/12907885/1","US20110228701")</f>
        <v>0.0</v>
      </c>
      <c r="M250" t="s">
        <v>1606</v>
      </c>
      <c r="N250" t="s">
        <v>1505</v>
      </c>
      <c r="O250" t="s">
        <v>1506</v>
      </c>
      <c r="P250" t="s">
        <v>1607</v>
      </c>
      <c r="Q250" s="3" t="n">
        <v>40470.0</v>
      </c>
      <c r="R250" s="3" t="n">
        <v>40808.0</v>
      </c>
      <c r="S250" s="3" t="n">
        <v>43791.29306971065</v>
      </c>
      <c r="T250" s="3" t="n">
        <v>43791.47145420139</v>
      </c>
      <c r="U250" t="s">
        <v>1508</v>
      </c>
      <c r="V250" t="s">
        <v>1608</v>
      </c>
    </row>
    <row r="251">
      <c r="A251" t="s">
        <v>22</v>
      </c>
      <c r="B251" t="s">
        <v>1609</v>
      </c>
      <c r="C251" t="s">
        <v>24</v>
      </c>
      <c r="D251" t="s">
        <v>25</v>
      </c>
      <c r="E251" t="s">
        <v>1610</v>
      </c>
      <c r="F251" s="2" t="n">
        <f>HYPERLINK("https://patents.google.com/patent/US20110205057","Google")</f>
        <v>0.0</v>
      </c>
      <c r="G251" s="2" t="n">
        <f>HYPERLINK("https://patentcenter.uspto.gov/applications/12709318","Patent Center")</f>
        <v>0.0</v>
      </c>
      <c r="H251" s="2" t="n">
        <f>HYPERLINK("https://worldwide.espacenet.com/patent/search?q=US20110205057","Espacenet")</f>
        <v>0.0</v>
      </c>
      <c r="I251" s="2" t="n">
        <f>HYPERLINK("https://ppubs.uspto.gov/pubwebapp/external.html?q=20110205057.pn.","USPTO")</f>
        <v>0.0</v>
      </c>
      <c r="J251" s="2" t="n">
        <f>HYPERLINK("https://image-ppubs.uspto.gov/dirsearch-public/print/downloadPdf/20110205057","USPTO PDF")</f>
        <v>0.0</v>
      </c>
      <c r="K251" s="2" t="n">
        <f>HYPERLINK("https://sectors.patentforecast.com/pmd/US20110205057","PMD")</f>
        <v>0.0</v>
      </c>
      <c r="L251" s="2" t="n">
        <f>HYPERLINK("https://globaldossier.uspto.gov/result/application/US/12709318/1","US20110205057")</f>
        <v>0.0</v>
      </c>
      <c r="M251" t="s">
        <v>1611</v>
      </c>
      <c r="N251" t="s">
        <v>1612</v>
      </c>
      <c r="O251" t="s">
        <v>1613</v>
      </c>
      <c r="P251" t="s">
        <v>1614</v>
      </c>
      <c r="Q251" s="3" t="n">
        <v>40228.0</v>
      </c>
      <c r="R251" s="3" t="n">
        <v>40780.0</v>
      </c>
      <c r="S251" s="3" t="n">
        <v>43789.47327231481</v>
      </c>
      <c r="T251" s="3" t="n">
        <v>43789.4740930787</v>
      </c>
      <c r="U251" t="s">
        <v>1615</v>
      </c>
      <c r="V251" t="s">
        <v>1616</v>
      </c>
    </row>
    <row r="252">
      <c r="A252" t="s">
        <v>22</v>
      </c>
      <c r="B252" t="s">
        <v>1617</v>
      </c>
      <c r="C252" t="s">
        <v>24</v>
      </c>
      <c r="D252" t="s">
        <v>25</v>
      </c>
      <c r="E252" t="s">
        <v>1618</v>
      </c>
      <c r="F252" s="2" t="n">
        <f>HYPERLINK("https://patents.google.com/patent/US20110060853","Google")</f>
        <v>0.0</v>
      </c>
      <c r="G252" s="2" t="n">
        <f>HYPERLINK("https://patentcenter.uspto.gov/applications/12942642","Patent Center")</f>
        <v>0.0</v>
      </c>
      <c r="H252" s="2" t="n">
        <f>HYPERLINK("https://worldwide.espacenet.com/patent/search?q=US20110060853","Espacenet")</f>
        <v>0.0</v>
      </c>
      <c r="I252" s="2" t="n">
        <f>HYPERLINK("https://ppubs.uspto.gov/pubwebapp/external.html?q=20110060853.pn.","USPTO")</f>
        <v>0.0</v>
      </c>
      <c r="J252" s="2" t="n">
        <f>HYPERLINK("https://image-ppubs.uspto.gov/dirsearch-public/print/downloadPdf/20110060853","USPTO PDF")</f>
        <v>0.0</v>
      </c>
      <c r="K252" s="2" t="n">
        <f>HYPERLINK("https://sectors.patentforecast.com/pmd/US20110060853","PMD")</f>
        <v>0.0</v>
      </c>
      <c r="L252" s="2" t="n">
        <f>HYPERLINK("https://globaldossier.uspto.gov/result/application/US/12942642/1","US20110060853")</f>
        <v>0.0</v>
      </c>
      <c r="M252" t="s">
        <v>1619</v>
      </c>
      <c r="N252" t="s">
        <v>1620</v>
      </c>
      <c r="O252" t="s">
        <v>1621</v>
      </c>
      <c r="P252" t="s">
        <v>1529</v>
      </c>
      <c r="Q252" s="3" t="n">
        <v>40491.0</v>
      </c>
      <c r="R252" s="3" t="n">
        <v>40612.0</v>
      </c>
      <c r="S252" s="3" t="n">
        <v>43790.72917457176</v>
      </c>
      <c r="T252" s="3" t="n">
        <v>43791.58868917824</v>
      </c>
      <c r="U252" t="s">
        <v>1530</v>
      </c>
      <c r="V252" t="s">
        <v>1622</v>
      </c>
    </row>
    <row r="253">
      <c r="A253" t="s">
        <v>22</v>
      </c>
      <c r="B253" t="s">
        <v>1623</v>
      </c>
      <c r="C253" t="s">
        <v>24</v>
      </c>
      <c r="D253" t="s">
        <v>25</v>
      </c>
      <c r="E253" t="s">
        <v>1624</v>
      </c>
      <c r="F253" s="2" t="n">
        <f>HYPERLINK("https://patents.google.com/patent/US20110057042","Google")</f>
        <v>0.0</v>
      </c>
      <c r="G253" s="2" t="n">
        <f>HYPERLINK("https://patentcenter.uspto.gov/applications/12554446","Patent Center")</f>
        <v>0.0</v>
      </c>
      <c r="H253" s="2" t="n">
        <f>HYPERLINK("https://worldwide.espacenet.com/patent/search?q=US20110057042","Espacenet")</f>
        <v>0.0</v>
      </c>
      <c r="I253" s="2" t="n">
        <f>HYPERLINK("https://ppubs.uspto.gov/pubwebapp/external.html?q=20110057042.pn.","USPTO")</f>
        <v>0.0</v>
      </c>
      <c r="J253" s="2" t="n">
        <f>HYPERLINK("https://image-ppubs.uspto.gov/dirsearch-public/print/downloadPdf/20110057042","USPTO PDF")</f>
        <v>0.0</v>
      </c>
      <c r="K253" s="2" t="n">
        <f>HYPERLINK("https://sectors.patentforecast.com/pmd/US20110057042","PMD")</f>
        <v>0.0</v>
      </c>
      <c r="L253" s="2" t="n">
        <f>HYPERLINK("https://globaldossier.uspto.gov/result/application/US/12554446/1","US20110057042")</f>
        <v>0.0</v>
      </c>
      <c r="M253" t="s">
        <v>1625</v>
      </c>
      <c r="N253" t="s">
        <v>1626</v>
      </c>
      <c r="O253" t="s">
        <v>1627</v>
      </c>
      <c r="P253" t="s">
        <v>1628</v>
      </c>
      <c r="Q253" s="3" t="n">
        <v>40060.0</v>
      </c>
      <c r="R253" s="3" t="n">
        <v>40612.0</v>
      </c>
      <c r="S253" s="3" t="n">
        <v>43795.982111701385</v>
      </c>
      <c r="T253" s="3" t="n">
        <v>43796.366832534724</v>
      </c>
      <c r="U253" t="s">
        <v>1629</v>
      </c>
      <c r="V253" t="s">
        <v>1630</v>
      </c>
    </row>
    <row r="254">
      <c r="A254" t="s">
        <v>22</v>
      </c>
      <c r="B254" t="s">
        <v>1631</v>
      </c>
      <c r="C254" t="s">
        <v>24</v>
      </c>
      <c r="D254" t="s">
        <v>25</v>
      </c>
      <c r="E254" t="s">
        <v>1632</v>
      </c>
      <c r="F254" s="2" t="n">
        <f>HYPERLINK("https://patents.google.com/patent/US20110019651","Google")</f>
        <v>0.0</v>
      </c>
      <c r="G254" s="2" t="n">
        <f>HYPERLINK("https://patentcenter.uspto.gov/applications/12803637","Patent Center")</f>
        <v>0.0</v>
      </c>
      <c r="H254" s="2" t="n">
        <f>HYPERLINK("https://worldwide.espacenet.com/patent/search?q=US20110019651","Espacenet")</f>
        <v>0.0</v>
      </c>
      <c r="I254" s="2" t="n">
        <f>HYPERLINK("https://ppubs.uspto.gov/pubwebapp/external.html?q=20110019651.pn.","USPTO")</f>
        <v>0.0</v>
      </c>
      <c r="J254" s="2" t="n">
        <f>HYPERLINK("https://image-ppubs.uspto.gov/dirsearch-public/print/downloadPdf/20110019651","USPTO PDF")</f>
        <v>0.0</v>
      </c>
      <c r="K254" s="2" t="n">
        <f>HYPERLINK("https://sectors.patentforecast.com/pmd/US20110019651","PMD")</f>
        <v>0.0</v>
      </c>
      <c r="L254" s="2" t="n">
        <f>HYPERLINK("https://globaldossier.uspto.gov/result/application/US/12803637/1","US20110019651")</f>
        <v>0.0</v>
      </c>
      <c r="M254" t="s">
        <v>1633</v>
      </c>
      <c r="N254" t="s">
        <v>227</v>
      </c>
      <c r="O254" t="s">
        <v>228</v>
      </c>
      <c r="P254" t="s">
        <v>1634</v>
      </c>
      <c r="Q254" s="3" t="n">
        <v>40360.0</v>
      </c>
      <c r="R254" s="3" t="n">
        <v>40570.0</v>
      </c>
      <c r="S254" s="3" t="n">
        <v>43790.78696880787</v>
      </c>
      <c r="T254" s="3" t="n">
        <v>43791.50083667824</v>
      </c>
      <c r="U254" t="s">
        <v>1635</v>
      </c>
      <c r="V254" t="s">
        <v>1636</v>
      </c>
    </row>
    <row r="255">
      <c r="A255" t="s">
        <v>22</v>
      </c>
      <c r="B255" t="s">
        <v>1637</v>
      </c>
      <c r="C255" t="s">
        <v>168</v>
      </c>
      <c r="D255" t="s">
        <v>168</v>
      </c>
      <c r="E255" t="s">
        <v>1638</v>
      </c>
      <c r="F255" s="2" t="n">
        <f>HYPERLINK("https://patents.google.com/patent/US20110007491","Google")</f>
        <v>0.0</v>
      </c>
      <c r="G255" s="2" t="n">
        <f>HYPERLINK("https://patentcenter.uspto.gov/applications/12816325","Patent Center")</f>
        <v>0.0</v>
      </c>
      <c r="H255" s="2" t="n">
        <f>HYPERLINK("https://worldwide.espacenet.com/patent/search?q=US20110007491","Espacenet")</f>
        <v>0.0</v>
      </c>
      <c r="I255" s="2" t="n">
        <f>HYPERLINK("https://ppubs.uspto.gov/pubwebapp/external.html?q=20110007491.pn.","USPTO")</f>
        <v>0.0</v>
      </c>
      <c r="J255" s="2" t="n">
        <f>HYPERLINK("https://image-ppubs.uspto.gov/dirsearch-public/print/downloadPdf/20110007491","USPTO PDF")</f>
        <v>0.0</v>
      </c>
      <c r="K255" s="2" t="n">
        <f>HYPERLINK("https://sectors.patentforecast.com/pmd/US20110007491","PMD")</f>
        <v>0.0</v>
      </c>
      <c r="L255" s="2" t="n">
        <f>HYPERLINK("https://globaldossier.uspto.gov/result/application/US/12816325/1","US20110007491")</f>
        <v>0.0</v>
      </c>
      <c r="M255" t="s">
        <v>1639</v>
      </c>
      <c r="N255" t="s">
        <v>1200</v>
      </c>
      <c r="O255" t="s">
        <v>1201</v>
      </c>
      <c r="P255" t="s">
        <v>1640</v>
      </c>
      <c r="Q255" s="3" t="n">
        <v>40344.0</v>
      </c>
      <c r="R255" s="3" t="n">
        <v>40556.0</v>
      </c>
      <c r="S255" s="3" t="n">
        <v>43789.47386409722</v>
      </c>
      <c r="T255" s="3" t="n">
        <v>43789.55483621528</v>
      </c>
      <c r="U255" t="s">
        <v>1443</v>
      </c>
      <c r="V255" t="s">
        <v>1641</v>
      </c>
    </row>
    <row r="256">
      <c r="A256" t="s">
        <v>22</v>
      </c>
      <c r="B256" t="s">
        <v>1642</v>
      </c>
      <c r="C256" t="s">
        <v>168</v>
      </c>
      <c r="D256" t="s">
        <v>168</v>
      </c>
      <c r="E256" t="s">
        <v>1643</v>
      </c>
      <c r="F256" s="2" t="n">
        <f>HYPERLINK("https://patents.google.com/patent/US20110006603","Google")</f>
        <v>0.0</v>
      </c>
      <c r="G256" s="2" t="n">
        <f>HYPERLINK("https://patentcenter.uspto.gov/applications/12816080","Patent Center")</f>
        <v>0.0</v>
      </c>
      <c r="H256" s="2" t="n">
        <f>HYPERLINK("https://worldwide.espacenet.com/patent/search?q=US20110006603","Espacenet")</f>
        <v>0.0</v>
      </c>
      <c r="I256" s="2" t="n">
        <f>HYPERLINK("https://ppubs.uspto.gov/pubwebapp/external.html?q=20110006603.pn.","USPTO")</f>
        <v>0.0</v>
      </c>
      <c r="J256" s="2" t="n">
        <f>HYPERLINK("https://image-ppubs.uspto.gov/dirsearch-public/print/downloadPdf/20110006603","USPTO PDF")</f>
        <v>0.0</v>
      </c>
      <c r="K256" s="2" t="n">
        <f>HYPERLINK("https://sectors.patentforecast.com/pmd/US20110006603","PMD")</f>
        <v>0.0</v>
      </c>
      <c r="L256" s="2" t="n">
        <f>HYPERLINK("https://globaldossier.uspto.gov/result/application/US/12816080/1","US20110006603")</f>
        <v>0.0</v>
      </c>
      <c r="M256" t="s">
        <v>1644</v>
      </c>
      <c r="N256" t="s">
        <v>1200</v>
      </c>
      <c r="O256" t="s">
        <v>1201</v>
      </c>
      <c r="P256" t="s">
        <v>269</v>
      </c>
      <c r="Q256" s="3" t="n">
        <v>40344.0</v>
      </c>
      <c r="R256" s="3" t="n">
        <v>40556.0</v>
      </c>
      <c r="S256" s="3" t="n">
        <v>43789.47386409722</v>
      </c>
      <c r="T256" s="3" t="n">
        <v>43789.5553790162</v>
      </c>
      <c r="U256" t="s">
        <v>1443</v>
      </c>
      <c r="V256" t="s">
        <v>1203</v>
      </c>
    </row>
    <row r="257">
      <c r="A257" t="s">
        <v>22</v>
      </c>
      <c r="B257" t="s">
        <v>1645</v>
      </c>
      <c r="C257" t="s">
        <v>52</v>
      </c>
      <c r="D257" t="s">
        <v>52</v>
      </c>
      <c r="E257" t="s">
        <v>1646</v>
      </c>
      <c r="F257" s="2" t="n">
        <f>HYPERLINK("https://patents.google.com/patent/US20100321242","Google")</f>
        <v>0.0</v>
      </c>
      <c r="G257" s="2" t="n">
        <f>HYPERLINK("https://patentcenter.uspto.gov/applications/12487511","Patent Center")</f>
        <v>0.0</v>
      </c>
      <c r="H257" s="2" t="n">
        <f>HYPERLINK("https://worldwide.espacenet.com/patent/search?q=US20100321242","Espacenet")</f>
        <v>0.0</v>
      </c>
      <c r="I257" s="2" t="n">
        <f>HYPERLINK("https://ppubs.uspto.gov/pubwebapp/external.html?q=20100321242.pn.","USPTO")</f>
        <v>0.0</v>
      </c>
      <c r="J257" s="2" t="n">
        <f>HYPERLINK("https://image-ppubs.uspto.gov/dirsearch-public/print/downloadPdf/20100321242","USPTO PDF")</f>
        <v>0.0</v>
      </c>
      <c r="K257" s="2" t="n">
        <f>HYPERLINK("https://sectors.patentforecast.com/pmd/US20100321242","PMD")</f>
        <v>0.0</v>
      </c>
      <c r="L257" s="2" t="n">
        <f>HYPERLINK("https://globaldossier.uspto.gov/result/application/US/12487511/1","US20100321242")</f>
        <v>0.0</v>
      </c>
      <c r="M257" t="s">
        <v>1647</v>
      </c>
      <c r="N257" t="s">
        <v>1436</v>
      </c>
      <c r="O257" t="s">
        <v>1437</v>
      </c>
      <c r="P257" t="s">
        <v>1648</v>
      </c>
      <c r="Q257" s="3" t="n">
        <v>39982.0</v>
      </c>
      <c r="R257" s="3" t="n">
        <v>40535.0</v>
      </c>
      <c r="S257" s="3" t="n">
        <v>43788.411934270836</v>
      </c>
      <c r="T257" s="3" t="n">
        <v>43789.43160383102</v>
      </c>
      <c r="U257" t="s">
        <v>1649</v>
      </c>
      <c r="V257" t="s">
        <v>1650</v>
      </c>
    </row>
    <row r="258">
      <c r="A258" t="s">
        <v>22</v>
      </c>
      <c r="B258" t="s">
        <v>1651</v>
      </c>
      <c r="C258" t="s">
        <v>52</v>
      </c>
      <c r="D258" t="s">
        <v>52</v>
      </c>
      <c r="E258" t="s">
        <v>1652</v>
      </c>
      <c r="F258" s="2" t="n">
        <f>HYPERLINK("https://patents.google.com/patent/US20100321240","Google")</f>
        <v>0.0</v>
      </c>
      <c r="G258" s="2" t="n">
        <f>HYPERLINK("https://patentcenter.uspto.gov/applications/12487469","Patent Center")</f>
        <v>0.0</v>
      </c>
      <c r="H258" s="2" t="n">
        <f>HYPERLINK("https://worldwide.espacenet.com/patent/search?q=US20100321240","Espacenet")</f>
        <v>0.0</v>
      </c>
      <c r="I258" s="2" t="n">
        <f>HYPERLINK("https://ppubs.uspto.gov/pubwebapp/external.html?q=20100321240.pn.","USPTO")</f>
        <v>0.0</v>
      </c>
      <c r="J258" s="2" t="n">
        <f>HYPERLINK("https://image-ppubs.uspto.gov/dirsearch-public/print/downloadPdf/20100321240","USPTO PDF")</f>
        <v>0.0</v>
      </c>
      <c r="K258" s="2" t="n">
        <f>HYPERLINK("https://sectors.patentforecast.com/pmd/US20100321240","PMD")</f>
        <v>0.0</v>
      </c>
      <c r="L258" s="2" t="n">
        <f>HYPERLINK("https://globaldossier.uspto.gov/result/application/US/12487469/1","US20100321240")</f>
        <v>0.0</v>
      </c>
      <c r="M258" t="s">
        <v>1653</v>
      </c>
      <c r="N258" t="s">
        <v>1436</v>
      </c>
      <c r="O258" t="s">
        <v>1437</v>
      </c>
      <c r="P258" t="s">
        <v>1654</v>
      </c>
      <c r="Q258" s="3" t="n">
        <v>39982.0</v>
      </c>
      <c r="R258" s="3" t="n">
        <v>40535.0</v>
      </c>
      <c r="S258" s="3" t="n">
        <v>43788.411934270836</v>
      </c>
      <c r="T258" s="3" t="n">
        <v>43789.43219237268</v>
      </c>
      <c r="U258" t="s">
        <v>1655</v>
      </c>
      <c r="V258" t="s">
        <v>1656</v>
      </c>
    </row>
    <row r="259">
      <c r="A259" t="s">
        <v>22</v>
      </c>
      <c r="B259" t="s">
        <v>1657</v>
      </c>
      <c r="C259" t="s">
        <v>61</v>
      </c>
      <c r="D259" t="s">
        <v>61</v>
      </c>
      <c r="E259" t="s">
        <v>1658</v>
      </c>
      <c r="F259" s="2" t="n">
        <f>HYPERLINK("https://patents.google.com/patent/US20100283684","Google")</f>
        <v>0.0</v>
      </c>
      <c r="G259" s="2" t="n">
        <f>HYPERLINK("https://patentcenter.uspto.gov/applications/12435750","Patent Center")</f>
        <v>0.0</v>
      </c>
      <c r="H259" s="2" t="n">
        <f>HYPERLINK("https://worldwide.espacenet.com/patent/search?q=US20100283684","Espacenet")</f>
        <v>0.0</v>
      </c>
      <c r="I259" s="2" t="n">
        <f>HYPERLINK("https://ppubs.uspto.gov/pubwebapp/external.html?q=20100283684.pn.","USPTO")</f>
        <v>0.0</v>
      </c>
      <c r="J259" s="2" t="n">
        <f>HYPERLINK("https://image-ppubs.uspto.gov/dirsearch-public/print/downloadPdf/20100283684","USPTO PDF")</f>
        <v>0.0</v>
      </c>
      <c r="K259" s="2" t="n">
        <f>HYPERLINK("https://sectors.patentforecast.com/pmd/US20100283684","PMD")</f>
        <v>0.0</v>
      </c>
      <c r="L259" s="2" t="n">
        <f>HYPERLINK("https://globaldossier.uspto.gov/result/application/US/12435750/1","US20100283684")</f>
        <v>0.0</v>
      </c>
      <c r="M259" t="s">
        <v>1659</v>
      </c>
      <c r="N259" t="s">
        <v>1660</v>
      </c>
      <c r="O259" t="s">
        <v>1661</v>
      </c>
      <c r="P259" t="s">
        <v>1662</v>
      </c>
      <c r="Q259" s="3" t="n">
        <v>39938.0</v>
      </c>
      <c r="R259" s="3" t="n">
        <v>40493.0</v>
      </c>
      <c r="S259" s="3" t="n">
        <v>43791.5450412037</v>
      </c>
      <c r="T259" s="3" t="n">
        <v>43805.666515081015</v>
      </c>
      <c r="U259" t="s">
        <v>1663</v>
      </c>
      <c r="V259" t="s">
        <v>1664</v>
      </c>
    </row>
    <row r="260">
      <c r="A260" t="s">
        <v>22</v>
      </c>
      <c r="B260" t="s">
        <v>1665</v>
      </c>
      <c r="C260" t="s">
        <v>168</v>
      </c>
      <c r="D260" t="s">
        <v>168</v>
      </c>
      <c r="E260" t="s">
        <v>1605</v>
      </c>
      <c r="F260" s="2" t="n">
        <f>HYPERLINK("https://patents.google.com/patent/US20100260157","Google")</f>
        <v>0.0</v>
      </c>
      <c r="G260" s="2" t="n">
        <f>HYPERLINK("https://patentcenter.uspto.gov/applications/12652718","Patent Center")</f>
        <v>0.0</v>
      </c>
      <c r="H260" s="2" t="n">
        <f>HYPERLINK("https://worldwide.espacenet.com/patent/search?q=US20100260157","Espacenet")</f>
        <v>0.0</v>
      </c>
      <c r="I260" s="2" t="n">
        <f>HYPERLINK("https://ppubs.uspto.gov/pubwebapp/external.html?q=20100260157.pn.","USPTO")</f>
        <v>0.0</v>
      </c>
      <c r="J260" s="2" t="n">
        <f>HYPERLINK("https://image-ppubs.uspto.gov/dirsearch-public/print/downloadPdf/20100260157","USPTO PDF")</f>
        <v>0.0</v>
      </c>
      <c r="K260" s="2" t="n">
        <f>HYPERLINK("https://sectors.patentforecast.com/pmd/US20100260157","PMD")</f>
        <v>0.0</v>
      </c>
      <c r="L260" s="2" t="n">
        <f>HYPERLINK("https://globaldossier.uspto.gov/result/application/US/12652718/1","US20100260157")</f>
        <v>0.0</v>
      </c>
      <c r="M260" t="s">
        <v>1666</v>
      </c>
      <c r="N260" t="s">
        <v>1505</v>
      </c>
      <c r="O260" t="s">
        <v>1506</v>
      </c>
      <c r="P260" t="s">
        <v>1507</v>
      </c>
      <c r="Q260" s="3" t="n">
        <v>40183.0</v>
      </c>
      <c r="R260" s="3" t="n">
        <v>40465.0</v>
      </c>
      <c r="S260" s="3" t="n">
        <v>43791.29306971065</v>
      </c>
      <c r="T260" s="3" t="n">
        <v>43791.47145420139</v>
      </c>
      <c r="U260" t="s">
        <v>1508</v>
      </c>
      <c r="V260" t="s">
        <v>1509</v>
      </c>
    </row>
    <row r="261">
      <c r="A261" t="s">
        <v>22</v>
      </c>
      <c r="B261" t="s">
        <v>1667</v>
      </c>
      <c r="C261" t="s">
        <v>24</v>
      </c>
      <c r="D261" t="s">
        <v>25</v>
      </c>
      <c r="E261" t="s">
        <v>1668</v>
      </c>
      <c r="F261" s="2" t="n">
        <f>HYPERLINK("https://patents.google.com/patent/US20100219221","Google")</f>
        <v>0.0</v>
      </c>
      <c r="G261" s="2" t="n">
        <f>HYPERLINK("https://patentcenter.uspto.gov/applications/12799862","Patent Center")</f>
        <v>0.0</v>
      </c>
      <c r="H261" s="2" t="n">
        <f>HYPERLINK("https://worldwide.espacenet.com/patent/search?q=US20100219221","Espacenet")</f>
        <v>0.0</v>
      </c>
      <c r="I261" s="2" t="n">
        <f>HYPERLINK("https://ppubs.uspto.gov/pubwebapp/external.html?q=20100219221.pn.","USPTO")</f>
        <v>0.0</v>
      </c>
      <c r="J261" s="2" t="n">
        <f>HYPERLINK("https://image-ppubs.uspto.gov/dirsearch-public/print/downloadPdf/20100219221","USPTO PDF")</f>
        <v>0.0</v>
      </c>
      <c r="K261" s="2" t="n">
        <f>HYPERLINK("https://sectors.patentforecast.com/pmd/US20100219221","PMD")</f>
        <v>0.0</v>
      </c>
      <c r="L261" s="2" t="n">
        <f>HYPERLINK("https://globaldossier.uspto.gov/result/application/US/12799862/1","US20100219221")</f>
        <v>0.0</v>
      </c>
      <c r="M261" t="s">
        <v>1669</v>
      </c>
      <c r="N261" t="s">
        <v>1572</v>
      </c>
      <c r="O261" t="s">
        <v>1573</v>
      </c>
      <c r="P261" t="s">
        <v>1574</v>
      </c>
      <c r="Q261" s="3" t="n">
        <v>40301.0</v>
      </c>
      <c r="R261" s="3" t="n">
        <v>40423.0</v>
      </c>
      <c r="S261" s="3" t="n">
        <v>43787.479875219906</v>
      </c>
      <c r="T261" s="3" t="n">
        <v>43789.658027488425</v>
      </c>
      <c r="U261" t="s">
        <v>1575</v>
      </c>
      <c r="V261" t="s">
        <v>1576</v>
      </c>
    </row>
    <row r="262">
      <c r="A262" t="s">
        <v>22</v>
      </c>
      <c r="B262" t="s">
        <v>1670</v>
      </c>
      <c r="C262" t="s">
        <v>24</v>
      </c>
      <c r="D262" t="s">
        <v>25</v>
      </c>
      <c r="E262" t="s">
        <v>1163</v>
      </c>
      <c r="F262" s="2" t="n">
        <f>HYPERLINK("https://patents.google.com/patent/US20100197222","Google")</f>
        <v>0.0</v>
      </c>
      <c r="G262" s="2" t="n">
        <f>HYPERLINK("https://patentcenter.uspto.gov/applications/12697289","Patent Center")</f>
        <v>0.0</v>
      </c>
      <c r="H262" s="2" t="n">
        <f>HYPERLINK("https://worldwide.espacenet.com/patent/search?q=US20100197222","Espacenet")</f>
        <v>0.0</v>
      </c>
      <c r="I262" s="2" t="n">
        <f>HYPERLINK("https://ppubs.uspto.gov/pubwebapp/external.html?q=20100197222.pn.","USPTO")</f>
        <v>0.0</v>
      </c>
      <c r="J262" s="2" t="n">
        <f>HYPERLINK("https://image-ppubs.uspto.gov/dirsearch-public/print/downloadPdf/20100197222","USPTO PDF")</f>
        <v>0.0</v>
      </c>
      <c r="K262" s="2" t="n">
        <f>HYPERLINK("https://sectors.patentforecast.com/pmd/US20100197222","PMD")</f>
        <v>0.0</v>
      </c>
      <c r="L262" s="2" t="n">
        <f>HYPERLINK("https://globaldossier.uspto.gov/result/application/US/12697289/1","US20100197222")</f>
        <v>0.0</v>
      </c>
      <c r="M262" t="s">
        <v>1671</v>
      </c>
      <c r="N262" t="s">
        <v>227</v>
      </c>
      <c r="O262" t="s">
        <v>228</v>
      </c>
      <c r="P262" t="s">
        <v>1672</v>
      </c>
      <c r="Q262" s="3" t="n">
        <v>40209.0</v>
      </c>
      <c r="R262" s="3" t="n">
        <v>40395.0</v>
      </c>
      <c r="S262" s="3" t="n">
        <v>43789.56471119213</v>
      </c>
      <c r="T262" s="3" t="n">
        <v>43789.607672314814</v>
      </c>
      <c r="U262" t="s">
        <v>198</v>
      </c>
      <c r="V262" t="s">
        <v>1673</v>
      </c>
    </row>
    <row r="263">
      <c r="A263" t="s">
        <v>22</v>
      </c>
      <c r="B263" t="s">
        <v>1674</v>
      </c>
      <c r="C263" t="s">
        <v>24</v>
      </c>
      <c r="D263" t="s">
        <v>25</v>
      </c>
      <c r="E263" t="s">
        <v>1675</v>
      </c>
      <c r="F263" s="2" t="n">
        <f>HYPERLINK("https://patents.google.com/patent/US20100159823","Google")</f>
        <v>0.0</v>
      </c>
      <c r="G263" s="2" t="n">
        <f>HYPERLINK("https://patentcenter.uspto.gov/applications/12485118","Patent Center")</f>
        <v>0.0</v>
      </c>
      <c r="H263" s="2" t="n">
        <f>HYPERLINK("https://worldwide.espacenet.com/patent/search?q=US20100159823","Espacenet")</f>
        <v>0.0</v>
      </c>
      <c r="I263" s="2" t="n">
        <f>HYPERLINK("https://ppubs.uspto.gov/pubwebapp/external.html?q=20100159823.pn.","USPTO")</f>
        <v>0.0</v>
      </c>
      <c r="J263" s="2" t="n">
        <f>HYPERLINK("https://image-ppubs.uspto.gov/dirsearch-public/print/downloadPdf/20100159823","USPTO PDF")</f>
        <v>0.0</v>
      </c>
      <c r="K263" s="2" t="n">
        <f>HYPERLINK("https://sectors.patentforecast.com/pmd/US20100159823","PMD")</f>
        <v>0.0</v>
      </c>
      <c r="L263" s="2" t="n">
        <f>HYPERLINK("https://globaldossier.uspto.gov/result/application/US/12485118/1","US20100159823")</f>
        <v>0.0</v>
      </c>
      <c r="M263" t="s">
        <v>1676</v>
      </c>
      <c r="N263" t="s">
        <v>1677</v>
      </c>
      <c r="O263" t="s">
        <v>1678</v>
      </c>
      <c r="P263" t="s">
        <v>1679</v>
      </c>
      <c r="Q263" s="3" t="n">
        <v>39980.0</v>
      </c>
      <c r="R263" s="3" t="n">
        <v>40353.0</v>
      </c>
      <c r="S263" s="3" t="n">
        <v>43789.56471119213</v>
      </c>
      <c r="T263" s="3" t="n">
        <v>43789.641853043984</v>
      </c>
      <c r="U263" t="s">
        <v>1680</v>
      </c>
      <c r="V263" t="s">
        <v>1681</v>
      </c>
    </row>
    <row r="264">
      <c r="A264" t="s">
        <v>22</v>
      </c>
      <c r="B264" t="s">
        <v>1682</v>
      </c>
      <c r="C264" t="s">
        <v>168</v>
      </c>
      <c r="D264" t="s">
        <v>168</v>
      </c>
      <c r="E264" t="s">
        <v>1683</v>
      </c>
      <c r="F264" s="2" t="n">
        <f>HYPERLINK("https://patents.google.com/patent/US20100118846","Google")</f>
        <v>0.0</v>
      </c>
      <c r="G264" s="2" t="n">
        <f>HYPERLINK("https://patentcenter.uspto.gov/applications/12514054","Patent Center")</f>
        <v>0.0</v>
      </c>
      <c r="H264" s="2" t="n">
        <f>HYPERLINK("https://worldwide.espacenet.com/patent/search?q=US20100118846","Espacenet")</f>
        <v>0.0</v>
      </c>
      <c r="I264" s="2" t="n">
        <f>HYPERLINK("https://ppubs.uspto.gov/pubwebapp/external.html?q=20100118846.pn.","USPTO")</f>
        <v>0.0</v>
      </c>
      <c r="J264" s="2" t="n">
        <f>HYPERLINK("https://image-ppubs.uspto.gov/dirsearch-public/print/downloadPdf/20100118846","USPTO PDF")</f>
        <v>0.0</v>
      </c>
      <c r="K264" s="2" t="n">
        <f>HYPERLINK("https://sectors.patentforecast.com/pmd/US20100118846","PMD")</f>
        <v>0.0</v>
      </c>
      <c r="L264" s="2" t="n">
        <f>HYPERLINK("https://globaldossier.uspto.gov/result/application/US/12514054/1","US20100118846")</f>
        <v>0.0</v>
      </c>
      <c r="M264" t="s">
        <v>1684</v>
      </c>
      <c r="N264" t="s">
        <v>1586</v>
      </c>
      <c r="O264" t="s">
        <v>1587</v>
      </c>
      <c r="P264" t="s">
        <v>1685</v>
      </c>
      <c r="Q264" s="3" t="n">
        <v>39217.0</v>
      </c>
      <c r="R264" s="3" t="n">
        <v>40311.0</v>
      </c>
      <c r="S264" s="3" t="n">
        <v>43790.78658710648</v>
      </c>
      <c r="T264" s="3" t="n">
        <v>43791.47400793982</v>
      </c>
      <c r="U264" t="s">
        <v>1686</v>
      </c>
      <c r="V264" t="s">
        <v>1687</v>
      </c>
    </row>
    <row r="265">
      <c r="A265" t="s">
        <v>22</v>
      </c>
      <c r="B265" t="s">
        <v>1688</v>
      </c>
      <c r="C265" t="s">
        <v>24</v>
      </c>
      <c r="D265" t="s">
        <v>25</v>
      </c>
      <c r="E265" t="s">
        <v>1689</v>
      </c>
      <c r="F265" s="2" t="n">
        <f>HYPERLINK("https://patents.google.com/patent/US20100067696","Google")</f>
        <v>0.0</v>
      </c>
      <c r="G265" s="2" t="n">
        <f>HYPERLINK("https://patentcenter.uspto.gov/applications/12591234","Patent Center")</f>
        <v>0.0</v>
      </c>
      <c r="H265" s="2" t="n">
        <f>HYPERLINK("https://worldwide.espacenet.com/patent/search?q=US20100067696","Espacenet")</f>
        <v>0.0</v>
      </c>
      <c r="I265" s="2" t="n">
        <f>HYPERLINK("https://ppubs.uspto.gov/pubwebapp/external.html?q=20100067696.pn.","USPTO")</f>
        <v>0.0</v>
      </c>
      <c r="J265" s="2" t="n">
        <f>HYPERLINK("https://image-ppubs.uspto.gov/dirsearch-public/print/downloadPdf/20100067696","USPTO PDF")</f>
        <v>0.0</v>
      </c>
      <c r="K265" s="2" t="n">
        <f>HYPERLINK("https://sectors.patentforecast.com/pmd/US20100067696","PMD")</f>
        <v>0.0</v>
      </c>
      <c r="L265" s="2" t="n">
        <f>HYPERLINK("https://globaldossier.uspto.gov/result/application/US/12591234/1","US20100067696")</f>
        <v>0.0</v>
      </c>
      <c r="M265" t="s">
        <v>1690</v>
      </c>
      <c r="N265" t="s">
        <v>1275</v>
      </c>
      <c r="O265" t="s">
        <v>1275</v>
      </c>
      <c r="P265" t="s">
        <v>1691</v>
      </c>
      <c r="Q265" s="3" t="n">
        <v>40130.0</v>
      </c>
      <c r="R265" s="3" t="n">
        <v>40255.0</v>
      </c>
      <c r="S265" s="3" t="n">
        <v>43791.50672763889</v>
      </c>
      <c r="T265" s="3" t="n">
        <v>43791.52660305556</v>
      </c>
      <c r="U265" t="s">
        <v>1348</v>
      </c>
      <c r="V265" t="s">
        <v>1349</v>
      </c>
    </row>
    <row r="266">
      <c r="A266" t="s">
        <v>22</v>
      </c>
      <c r="B266" t="s">
        <v>1692</v>
      </c>
      <c r="C266" t="s">
        <v>24</v>
      </c>
      <c r="D266" t="s">
        <v>25</v>
      </c>
      <c r="E266" t="s">
        <v>1693</v>
      </c>
      <c r="F266" s="2" t="n">
        <f>HYPERLINK("https://patents.google.com/patent/US20100022882","Google")</f>
        <v>0.0</v>
      </c>
      <c r="G266" s="2" t="n">
        <f>HYPERLINK("https://patentcenter.uspto.gov/applications/12299540","Patent Center")</f>
        <v>0.0</v>
      </c>
      <c r="H266" s="2" t="n">
        <f>HYPERLINK("https://worldwide.espacenet.com/patent/search?q=US20100022882","Espacenet")</f>
        <v>0.0</v>
      </c>
      <c r="I266" s="2" t="n">
        <f>HYPERLINK("https://ppubs.uspto.gov/pubwebapp/external.html?q=20100022882.pn.","USPTO")</f>
        <v>0.0</v>
      </c>
      <c r="J266" s="2" t="n">
        <f>HYPERLINK("https://image-ppubs.uspto.gov/dirsearch-public/print/downloadPdf/20100022882","USPTO PDF")</f>
        <v>0.0</v>
      </c>
      <c r="K266" s="2" t="n">
        <f>HYPERLINK("https://sectors.patentforecast.com/pmd/US20100022882","PMD")</f>
        <v>0.0</v>
      </c>
      <c r="L266" s="2" t="n">
        <f>HYPERLINK("https://globaldossier.uspto.gov/result/application/US/12299540/1","US20100022882")</f>
        <v>0.0</v>
      </c>
      <c r="M266" t="s">
        <v>1694</v>
      </c>
      <c r="N266" t="s">
        <v>1695</v>
      </c>
      <c r="O266" t="s">
        <v>1695</v>
      </c>
      <c r="P266" t="s">
        <v>1696</v>
      </c>
      <c r="Q266" s="3" t="n">
        <v>39206.0</v>
      </c>
      <c r="R266" s="3" t="n">
        <v>40206.0</v>
      </c>
      <c r="S266" s="3" t="n">
        <v>43789.47398099537</v>
      </c>
      <c r="T266" s="3" t="n">
        <v>43790.375460173615</v>
      </c>
      <c r="U266" t="s">
        <v>1697</v>
      </c>
      <c r="V266" t="s">
        <v>1698</v>
      </c>
    </row>
    <row r="267">
      <c r="A267" t="s">
        <v>22</v>
      </c>
      <c r="B267" t="s">
        <v>1699</v>
      </c>
      <c r="C267" t="s">
        <v>168</v>
      </c>
      <c r="D267" t="s">
        <v>168</v>
      </c>
      <c r="E267" t="s">
        <v>1605</v>
      </c>
      <c r="F267" s="2" t="n">
        <f>HYPERLINK("https://patents.google.com/patent/US20090323568","Google")</f>
        <v>0.0</v>
      </c>
      <c r="G267" s="2" t="n">
        <f>HYPERLINK("https://patentcenter.uspto.gov/applications/11677544","Patent Center")</f>
        <v>0.0</v>
      </c>
      <c r="H267" s="2" t="n">
        <f>HYPERLINK("https://worldwide.espacenet.com/patent/search?q=US20090323568","Espacenet")</f>
        <v>0.0</v>
      </c>
      <c r="I267" s="2" t="n">
        <f>HYPERLINK("https://ppubs.uspto.gov/pubwebapp/external.html?q=20090323568.pn.","USPTO")</f>
        <v>0.0</v>
      </c>
      <c r="J267" s="2" t="n">
        <f>HYPERLINK("https://image-ppubs.uspto.gov/dirsearch-public/print/downloadPdf/20090323568","USPTO PDF")</f>
        <v>0.0</v>
      </c>
      <c r="K267" s="2" t="n">
        <f>HYPERLINK("https://sectors.patentforecast.com/pmd/US20090323568","PMD")</f>
        <v>0.0</v>
      </c>
      <c r="L267" s="2" t="n">
        <f>HYPERLINK("https://globaldossier.uspto.gov/result/application/US/11677544/1","US20090323568")</f>
        <v>0.0</v>
      </c>
      <c r="M267" t="s">
        <v>1700</v>
      </c>
      <c r="N267" t="s">
        <v>1505</v>
      </c>
      <c r="O267" t="s">
        <v>1506</v>
      </c>
      <c r="P267" t="s">
        <v>1607</v>
      </c>
      <c r="Q267" s="3" t="n">
        <v>39134.0</v>
      </c>
      <c r="R267" s="3" t="n">
        <v>40178.0</v>
      </c>
      <c r="S267" s="3" t="n">
        <v>43791.29306971065</v>
      </c>
      <c r="T267" s="3" t="n">
        <v>43791.47145420139</v>
      </c>
      <c r="U267" t="s">
        <v>1508</v>
      </c>
      <c r="V267" t="s">
        <v>1608</v>
      </c>
    </row>
    <row r="268">
      <c r="A268" t="s">
        <v>22</v>
      </c>
      <c r="B268" t="s">
        <v>1701</v>
      </c>
      <c r="C268" t="s">
        <v>24</v>
      </c>
      <c r="D268" t="s">
        <v>25</v>
      </c>
      <c r="E268" t="s">
        <v>1702</v>
      </c>
      <c r="F268" s="2" t="n">
        <f>HYPERLINK("https://patents.google.com/patent/US20090313469","Google")</f>
        <v>0.0</v>
      </c>
      <c r="G268" s="2" t="n">
        <f>HYPERLINK("https://patentcenter.uspto.gov/applications/12461570","Patent Center")</f>
        <v>0.0</v>
      </c>
      <c r="H268" s="2" t="n">
        <f>HYPERLINK("https://worldwide.espacenet.com/patent/search?q=US20090313469","Espacenet")</f>
        <v>0.0</v>
      </c>
      <c r="I268" s="2" t="n">
        <f>HYPERLINK("https://ppubs.uspto.gov/pubwebapp/external.html?q=20090313469.pn.","USPTO")</f>
        <v>0.0</v>
      </c>
      <c r="J268" s="2" t="n">
        <f>HYPERLINK("https://image-ppubs.uspto.gov/dirsearch-public/print/downloadPdf/20090313469","USPTO PDF")</f>
        <v>0.0</v>
      </c>
      <c r="K268" s="2" t="n">
        <f>HYPERLINK("https://sectors.patentforecast.com/pmd/US20090313469","PMD")</f>
        <v>0.0</v>
      </c>
      <c r="L268" s="2" t="n">
        <f>HYPERLINK("https://globaldossier.uspto.gov/result/application/US/12461570/1","US20090313469")</f>
        <v>0.0</v>
      </c>
      <c r="M268" t="s">
        <v>1703</v>
      </c>
      <c r="N268" t="s">
        <v>1275</v>
      </c>
      <c r="O268" t="s">
        <v>1275</v>
      </c>
      <c r="P268" t="s">
        <v>1704</v>
      </c>
      <c r="Q268" s="3" t="n">
        <v>40042.0</v>
      </c>
      <c r="R268" s="3" t="n">
        <v>40164.0</v>
      </c>
      <c r="S268" s="3" t="n">
        <v>43791.50672763889</v>
      </c>
      <c r="T268" s="3" t="n">
        <v>43791.522783506945</v>
      </c>
      <c r="U268" t="s">
        <v>1581</v>
      </c>
      <c r="V268" t="s">
        <v>1582</v>
      </c>
    </row>
    <row r="269">
      <c r="A269" t="s">
        <v>22</v>
      </c>
      <c r="B269" t="s">
        <v>1705</v>
      </c>
      <c r="C269" t="s">
        <v>24</v>
      </c>
      <c r="D269" t="s">
        <v>25</v>
      </c>
      <c r="E269" t="s">
        <v>1706</v>
      </c>
      <c r="F269" s="2" t="n">
        <f>HYPERLINK("https://patents.google.com/patent/US20090268650","Google")</f>
        <v>0.0</v>
      </c>
      <c r="G269" s="2" t="n">
        <f>HYPERLINK("https://patentcenter.uspto.gov/applications/12150376","Patent Center")</f>
        <v>0.0</v>
      </c>
      <c r="H269" s="2" t="n">
        <f>HYPERLINK("https://worldwide.espacenet.com/patent/search?q=US20090268650","Espacenet")</f>
        <v>0.0</v>
      </c>
      <c r="I269" s="2" t="n">
        <f>HYPERLINK("https://ppubs.uspto.gov/pubwebapp/external.html?q=20090268650.pn.","USPTO")</f>
        <v>0.0</v>
      </c>
      <c r="J269" s="2" t="n">
        <f>HYPERLINK("https://image-ppubs.uspto.gov/dirsearch-public/print/downloadPdf/20090268650","USPTO PDF")</f>
        <v>0.0</v>
      </c>
      <c r="K269" s="2" t="n">
        <f>HYPERLINK("https://sectors.patentforecast.com/pmd/US20090268650","PMD")</f>
        <v>0.0</v>
      </c>
      <c r="L269" s="2" t="n">
        <f>HYPERLINK("https://globaldossier.uspto.gov/result/application/US/12150376/1","US20090268650")</f>
        <v>0.0</v>
      </c>
      <c r="M269" t="s">
        <v>1707</v>
      </c>
      <c r="N269" t="s">
        <v>1708</v>
      </c>
      <c r="O269" t="s">
        <v>1709</v>
      </c>
      <c r="P269" t="s">
        <v>1710</v>
      </c>
      <c r="Q269" s="3" t="n">
        <v>39566.0</v>
      </c>
      <c r="R269" s="3" t="n">
        <v>40115.0</v>
      </c>
      <c r="S269" s="3" t="n">
        <v>43790.77964350695</v>
      </c>
      <c r="T269" s="3" t="n">
        <v>43791.47736744213</v>
      </c>
      <c r="U269" t="s">
        <v>1711</v>
      </c>
      <c r="V269" t="s">
        <v>1712</v>
      </c>
    </row>
    <row r="270">
      <c r="A270" t="s">
        <v>22</v>
      </c>
      <c r="B270" t="s">
        <v>1713</v>
      </c>
      <c r="C270" t="s">
        <v>168</v>
      </c>
      <c r="D270" t="s">
        <v>168</v>
      </c>
      <c r="E270" t="s">
        <v>1714</v>
      </c>
      <c r="F270" s="2" t="n">
        <f>HYPERLINK("https://patents.google.com/patent/US20090175254","Google")</f>
        <v>0.0</v>
      </c>
      <c r="G270" s="2" t="n">
        <f>HYPERLINK("https://patentcenter.uspto.gov/applications/12341480","Patent Center")</f>
        <v>0.0</v>
      </c>
      <c r="H270" s="2" t="n">
        <f>HYPERLINK("https://worldwide.espacenet.com/patent/search?q=US20090175254","Espacenet")</f>
        <v>0.0</v>
      </c>
      <c r="I270" s="2" t="n">
        <f>HYPERLINK("https://ppubs.uspto.gov/pubwebapp/external.html?q=20090175254.pn.","USPTO")</f>
        <v>0.0</v>
      </c>
      <c r="J270" s="2" t="n">
        <f>HYPERLINK("https://image-ppubs.uspto.gov/dirsearch-public/print/downloadPdf/20090175254","USPTO PDF")</f>
        <v>0.0</v>
      </c>
      <c r="K270" s="2" t="n">
        <f>HYPERLINK("https://sectors.patentforecast.com/pmd/US20090175254","PMD")</f>
        <v>0.0</v>
      </c>
      <c r="L270" s="2" t="n">
        <f>HYPERLINK("https://globaldossier.uspto.gov/result/application/US/12341480/1","US20090175254")</f>
        <v>0.0</v>
      </c>
      <c r="M270" t="s">
        <v>1715</v>
      </c>
      <c r="N270" t="s">
        <v>1716</v>
      </c>
      <c r="O270" t="s">
        <v>1717</v>
      </c>
      <c r="P270" t="s">
        <v>1718</v>
      </c>
      <c r="Q270" s="3" t="n">
        <v>39804.0</v>
      </c>
      <c r="R270" s="3" t="n">
        <v>40003.0</v>
      </c>
      <c r="S270" s="3" t="n">
        <v>43790.79086891204</v>
      </c>
      <c r="T270" s="3" t="n">
        <v>43791.48281918981</v>
      </c>
      <c r="U270" t="s">
        <v>1719</v>
      </c>
      <c r="V270" t="s">
        <v>1720</v>
      </c>
    </row>
    <row r="271">
      <c r="A271" t="s">
        <v>22</v>
      </c>
      <c r="B271" t="s">
        <v>1721</v>
      </c>
      <c r="C271" t="s">
        <v>24</v>
      </c>
      <c r="D271" t="s">
        <v>25</v>
      </c>
      <c r="E271" t="s">
        <v>1722</v>
      </c>
      <c r="F271" s="2" t="n">
        <f>HYPERLINK("https://patents.google.com/patent/US20090097462","Google")</f>
        <v>0.0</v>
      </c>
      <c r="G271" s="2" t="n">
        <f>HYPERLINK("https://patentcenter.uspto.gov/applications/12249143","Patent Center")</f>
        <v>0.0</v>
      </c>
      <c r="H271" s="2" t="n">
        <f>HYPERLINK("https://worldwide.espacenet.com/patent/search?q=US20090097462","Espacenet")</f>
        <v>0.0</v>
      </c>
      <c r="I271" s="2" t="n">
        <f>HYPERLINK("https://ppubs.uspto.gov/pubwebapp/external.html?q=20090097462.pn.","USPTO")</f>
        <v>0.0</v>
      </c>
      <c r="J271" s="2" t="n">
        <f>HYPERLINK("https://image-ppubs.uspto.gov/dirsearch-public/print/downloadPdf/20090097462","USPTO PDF")</f>
        <v>0.0</v>
      </c>
      <c r="K271" s="2" t="n">
        <f>HYPERLINK("https://sectors.patentforecast.com/pmd/US20090097462","PMD")</f>
        <v>0.0</v>
      </c>
      <c r="L271" s="2" t="n">
        <f>HYPERLINK("https://globaldossier.uspto.gov/result/application/US/12249143/1","US20090097462")</f>
        <v>0.0</v>
      </c>
      <c r="M271" t="s">
        <v>1723</v>
      </c>
      <c r="N271" t="s">
        <v>1724</v>
      </c>
      <c r="O271" t="s">
        <v>1725</v>
      </c>
      <c r="P271" t="s">
        <v>1726</v>
      </c>
      <c r="Q271" s="3" t="n">
        <v>39731.0</v>
      </c>
      <c r="R271" s="3" t="n">
        <v>39919.0</v>
      </c>
      <c r="S271" s="3" t="n">
        <v>43791.50672763889</v>
      </c>
      <c r="T271" s="3" t="n">
        <v>43791.59420600694</v>
      </c>
      <c r="U271" t="s">
        <v>1727</v>
      </c>
      <c r="V271" t="s">
        <v>1728</v>
      </c>
    </row>
    <row r="272">
      <c r="A272" t="s">
        <v>22</v>
      </c>
      <c r="B272" t="s">
        <v>1729</v>
      </c>
      <c r="C272" t="s">
        <v>168</v>
      </c>
      <c r="D272" t="s">
        <v>168</v>
      </c>
      <c r="E272" t="s">
        <v>1554</v>
      </c>
      <c r="F272" s="2" t="n">
        <f>HYPERLINK("https://patents.google.com/patent/US20090096413","Google")</f>
        <v>0.0</v>
      </c>
      <c r="G272" s="2" t="n">
        <f>HYPERLINK("https://patentcenter.uspto.gov/applications/12116876","Patent Center")</f>
        <v>0.0</v>
      </c>
      <c r="H272" s="2" t="n">
        <f>HYPERLINK("https://worldwide.espacenet.com/patent/search?q=US20090096413","Espacenet")</f>
        <v>0.0</v>
      </c>
      <c r="I272" s="2" t="n">
        <f>HYPERLINK("https://ppubs.uspto.gov/pubwebapp/external.html?q=20090096413.pn.","USPTO")</f>
        <v>0.0</v>
      </c>
      <c r="J272" s="2" t="n">
        <f>HYPERLINK("https://image-ppubs.uspto.gov/dirsearch-public/print/downloadPdf/20090096413","USPTO PDF")</f>
        <v>0.0</v>
      </c>
      <c r="K272" s="2" t="n">
        <f>HYPERLINK("https://sectors.patentforecast.com/pmd/US20090096413","PMD")</f>
        <v>0.0</v>
      </c>
      <c r="L272" s="2" t="n">
        <f>HYPERLINK("https://globaldossier.uspto.gov/result/application/US/12116876/1","US20090096413")</f>
        <v>0.0</v>
      </c>
      <c r="M272" t="s">
        <v>1730</v>
      </c>
      <c r="N272" t="s">
        <v>345</v>
      </c>
      <c r="O272" t="s">
        <v>346</v>
      </c>
      <c r="P272" t="s">
        <v>1496</v>
      </c>
      <c r="Q272" s="3" t="n">
        <v>39575.0</v>
      </c>
      <c r="R272" s="3" t="n">
        <v>39919.0</v>
      </c>
      <c r="S272" s="3" t="n">
        <v>43789.47386409722</v>
      </c>
      <c r="T272" s="3" t="n">
        <v>43790.38110613426</v>
      </c>
      <c r="U272" t="s">
        <v>1557</v>
      </c>
      <c r="V272" t="s">
        <v>1731</v>
      </c>
    </row>
    <row r="273">
      <c r="A273" t="s">
        <v>22</v>
      </c>
      <c r="B273" t="s">
        <v>1732</v>
      </c>
      <c r="C273" t="s">
        <v>24</v>
      </c>
      <c r="D273" t="s">
        <v>25</v>
      </c>
      <c r="E273" t="s">
        <v>1733</v>
      </c>
      <c r="F273" s="2" t="n">
        <f>HYPERLINK("https://patents.google.com/patent/US20090077375","Google")</f>
        <v>0.0</v>
      </c>
      <c r="G273" s="2" t="n">
        <f>HYPERLINK("https://patentcenter.uspto.gov/applications/11898724","Patent Center")</f>
        <v>0.0</v>
      </c>
      <c r="H273" s="2" t="n">
        <f>HYPERLINK("https://worldwide.espacenet.com/patent/search?q=US20090077375","Espacenet")</f>
        <v>0.0</v>
      </c>
      <c r="I273" s="2" t="n">
        <f>HYPERLINK("https://ppubs.uspto.gov/pubwebapp/external.html?q=20090077375.pn.","USPTO")</f>
        <v>0.0</v>
      </c>
      <c r="J273" s="2" t="n">
        <f>HYPERLINK("https://image-ppubs.uspto.gov/dirsearch-public/print/downloadPdf/20090077375","USPTO PDF")</f>
        <v>0.0</v>
      </c>
      <c r="K273" s="2" t="n">
        <f>HYPERLINK("https://sectors.patentforecast.com/pmd/US20090077375","PMD")</f>
        <v>0.0</v>
      </c>
      <c r="L273" s="2" t="n">
        <f>HYPERLINK("https://globaldossier.uspto.gov/result/application/US/11898724/1","US20090077375")</f>
        <v>0.0</v>
      </c>
      <c r="M273" t="s">
        <v>1734</v>
      </c>
      <c r="N273" t="s">
        <v>1275</v>
      </c>
      <c r="O273" t="s">
        <v>1275</v>
      </c>
      <c r="P273" t="s">
        <v>1735</v>
      </c>
      <c r="Q273" s="3" t="n">
        <v>39339.0</v>
      </c>
      <c r="R273" s="3" t="n">
        <v>39891.0</v>
      </c>
      <c r="S273" s="3" t="n">
        <v>43791.50672763889</v>
      </c>
      <c r="T273" s="3" t="n">
        <v>43791.52687390046</v>
      </c>
      <c r="U273" t="s">
        <v>1277</v>
      </c>
      <c r="V273" t="s">
        <v>1736</v>
      </c>
    </row>
    <row r="274">
      <c r="A274" t="s">
        <v>22</v>
      </c>
      <c r="B274" t="s">
        <v>1737</v>
      </c>
      <c r="C274" t="s">
        <v>24</v>
      </c>
      <c r="D274" t="s">
        <v>25</v>
      </c>
      <c r="E274" t="s">
        <v>1738</v>
      </c>
      <c r="F274" s="2" t="n">
        <f>HYPERLINK("https://patents.google.com/patent/US20090027192","Google")</f>
        <v>0.0</v>
      </c>
      <c r="G274" s="2" t="n">
        <f>HYPERLINK("https://patentcenter.uspto.gov/applications/11828209","Patent Center")</f>
        <v>0.0</v>
      </c>
      <c r="H274" s="2" t="n">
        <f>HYPERLINK("https://worldwide.espacenet.com/patent/search?q=US20090027192","Espacenet")</f>
        <v>0.0</v>
      </c>
      <c r="I274" s="2" t="n">
        <f>HYPERLINK("https://ppubs.uspto.gov/pubwebapp/external.html?q=20090027192.pn.","USPTO")</f>
        <v>0.0</v>
      </c>
      <c r="J274" s="2" t="n">
        <f>HYPERLINK("https://image-ppubs.uspto.gov/dirsearch-public/print/downloadPdf/20090027192","USPTO PDF")</f>
        <v>0.0</v>
      </c>
      <c r="K274" s="2" t="n">
        <f>HYPERLINK("https://sectors.patentforecast.com/pmd/US20090027192","PMD")</f>
        <v>0.0</v>
      </c>
      <c r="L274" s="2" t="n">
        <f>HYPERLINK("https://globaldossier.uspto.gov/result/application/US/11828209/1","US20090027192")</f>
        <v>0.0</v>
      </c>
      <c r="M274" t="s">
        <v>1739</v>
      </c>
      <c r="N274" t="s">
        <v>227</v>
      </c>
      <c r="O274" t="s">
        <v>228</v>
      </c>
      <c r="P274" t="s">
        <v>1740</v>
      </c>
      <c r="Q274" s="3" t="n">
        <v>39288.0</v>
      </c>
      <c r="R274" s="3" t="n">
        <v>39842.0</v>
      </c>
      <c r="S274" s="3" t="n">
        <v>43789.47386409722</v>
      </c>
      <c r="T274" s="3" t="n">
        <v>43789.487740034725</v>
      </c>
      <c r="U274" t="s">
        <v>1741</v>
      </c>
      <c r="V274" t="s">
        <v>1742</v>
      </c>
    </row>
    <row r="275">
      <c r="A275" t="s">
        <v>22</v>
      </c>
      <c r="B275" t="s">
        <v>1743</v>
      </c>
      <c r="C275" t="s">
        <v>24</v>
      </c>
      <c r="D275" t="s">
        <v>25</v>
      </c>
      <c r="E275" t="s">
        <v>1744</v>
      </c>
      <c r="F275" s="2" t="n">
        <f>HYPERLINK("https://patents.google.com/patent/US20080299899","Google")</f>
        <v>0.0</v>
      </c>
      <c r="G275" s="2" t="n">
        <f>HYPERLINK("https://patentcenter.uspto.gov/applications/11806516","Patent Center")</f>
        <v>0.0</v>
      </c>
      <c r="H275" s="2" t="n">
        <f>HYPERLINK("https://worldwide.espacenet.com/patent/search?q=US20080299899","Espacenet")</f>
        <v>0.0</v>
      </c>
      <c r="I275" s="2" t="n">
        <f>HYPERLINK("https://ppubs.uspto.gov/pubwebapp/external.html?q=20080299899.pn.","USPTO")</f>
        <v>0.0</v>
      </c>
      <c r="J275" s="2" t="n">
        <f>HYPERLINK("https://image-ppubs.uspto.gov/dirsearch-public/print/downloadPdf/20080299899","USPTO PDF")</f>
        <v>0.0</v>
      </c>
      <c r="K275" s="2" t="n">
        <f>HYPERLINK("https://sectors.patentforecast.com/pmd/US20080299899","PMD")</f>
        <v>0.0</v>
      </c>
      <c r="L275" s="2" t="n">
        <f>HYPERLINK("https://globaldossier.uspto.gov/result/application/US/11806516/1","US20080299899")</f>
        <v>0.0</v>
      </c>
      <c r="M275" t="s">
        <v>1745</v>
      </c>
      <c r="N275" t="s">
        <v>1746</v>
      </c>
      <c r="O275" t="s">
        <v>1746</v>
      </c>
      <c r="P275" t="s">
        <v>1747</v>
      </c>
      <c r="Q275" s="3" t="n">
        <v>39233.0</v>
      </c>
      <c r="R275" s="3" t="n">
        <v>39786.0</v>
      </c>
      <c r="S275" s="3" t="n">
        <v>43791.509273020834</v>
      </c>
      <c r="T275" s="3" t="n">
        <v>43791.515484675925</v>
      </c>
      <c r="U275" t="s">
        <v>1748</v>
      </c>
      <c r="V275" t="s">
        <v>1749</v>
      </c>
    </row>
    <row r="276">
      <c r="A276" t="s">
        <v>22</v>
      </c>
      <c r="B276" t="s">
        <v>1750</v>
      </c>
      <c r="C276" t="s">
        <v>24</v>
      </c>
      <c r="D276" t="s">
        <v>25</v>
      </c>
      <c r="E276" t="s">
        <v>1751</v>
      </c>
      <c r="F276" s="2" t="n">
        <f>HYPERLINK("https://patents.google.com/patent/US20080261529","Google")</f>
        <v>0.0</v>
      </c>
      <c r="G276" s="2" t="n">
        <f>HYPERLINK("https://patentcenter.uspto.gov/applications/11788566","Patent Center")</f>
        <v>0.0</v>
      </c>
      <c r="H276" s="2" t="n">
        <f>HYPERLINK("https://worldwide.espacenet.com/patent/search?q=US20080261529","Espacenet")</f>
        <v>0.0</v>
      </c>
      <c r="I276" s="2" t="n">
        <f>HYPERLINK("https://ppubs.uspto.gov/pubwebapp/external.html?q=20080261529.pn.","USPTO")</f>
        <v>0.0</v>
      </c>
      <c r="J276" s="2" t="n">
        <f>HYPERLINK("https://image-ppubs.uspto.gov/dirsearch-public/print/downloadPdf/20080261529","USPTO PDF")</f>
        <v>0.0</v>
      </c>
      <c r="K276" s="2" t="n">
        <f>HYPERLINK("https://sectors.patentforecast.com/pmd/US20080261529","PMD")</f>
        <v>0.0</v>
      </c>
      <c r="L276" s="2" t="n">
        <f>HYPERLINK("https://globaldossier.uspto.gov/result/application/US/11788566/1","US20080261529")</f>
        <v>0.0</v>
      </c>
      <c r="M276" t="s">
        <v>1752</v>
      </c>
      <c r="N276" t="s">
        <v>901</v>
      </c>
      <c r="O276" t="s">
        <v>902</v>
      </c>
      <c r="P276" t="s">
        <v>1753</v>
      </c>
      <c r="Q276" s="3" t="n">
        <v>39191.0</v>
      </c>
      <c r="R276" s="3" t="n">
        <v>39744.0</v>
      </c>
      <c r="S276" s="3" t="n">
        <v>43789.47398099537</v>
      </c>
      <c r="T276" s="3" t="n">
        <v>43790.371726770834</v>
      </c>
      <c r="U276" t="s">
        <v>1754</v>
      </c>
      <c r="V276" t="s">
        <v>1755</v>
      </c>
    </row>
    <row r="277">
      <c r="A277" t="s">
        <v>22</v>
      </c>
      <c r="B277" t="s">
        <v>1756</v>
      </c>
      <c r="C277" t="s">
        <v>24</v>
      </c>
      <c r="D277" t="s">
        <v>25</v>
      </c>
      <c r="E277" t="s">
        <v>1751</v>
      </c>
      <c r="F277" s="2" t="n">
        <f>HYPERLINK("https://patents.google.com/patent/US20080261528","Google")</f>
        <v>0.0</v>
      </c>
      <c r="G277" s="2" t="n">
        <f>HYPERLINK("https://patentcenter.uspto.gov/applications/11788562","Patent Center")</f>
        <v>0.0</v>
      </c>
      <c r="H277" s="2" t="n">
        <f>HYPERLINK("https://worldwide.espacenet.com/patent/search?q=US20080261528","Espacenet")</f>
        <v>0.0</v>
      </c>
      <c r="I277" s="2" t="n">
        <f>HYPERLINK("https://ppubs.uspto.gov/pubwebapp/external.html?q=20080261528.pn.","USPTO")</f>
        <v>0.0</v>
      </c>
      <c r="J277" s="2" t="n">
        <f>HYPERLINK("https://image-ppubs.uspto.gov/dirsearch-public/print/downloadPdf/20080261528","USPTO PDF")</f>
        <v>0.0</v>
      </c>
      <c r="K277" s="2" t="n">
        <f>HYPERLINK("https://sectors.patentforecast.com/pmd/US20080261528","PMD")</f>
        <v>0.0</v>
      </c>
      <c r="L277" s="2" t="n">
        <f>HYPERLINK("https://globaldossier.uspto.gov/result/application/US/11788562/1","US20080261528")</f>
        <v>0.0</v>
      </c>
      <c r="M277" t="s">
        <v>1757</v>
      </c>
      <c r="N277" t="s">
        <v>901</v>
      </c>
      <c r="O277" t="s">
        <v>902</v>
      </c>
      <c r="P277" t="s">
        <v>1753</v>
      </c>
      <c r="Q277" s="3" t="n">
        <v>39191.0</v>
      </c>
      <c r="R277" s="3" t="n">
        <v>39744.0</v>
      </c>
      <c r="S277" s="3" t="n">
        <v>43789.47398099537</v>
      </c>
      <c r="T277" s="3" t="n">
        <v>43790.371726770834</v>
      </c>
      <c r="U277" t="s">
        <v>1758</v>
      </c>
      <c r="V277" t="s">
        <v>1755</v>
      </c>
    </row>
    <row r="278">
      <c r="A278" t="s">
        <v>22</v>
      </c>
      <c r="B278" t="s">
        <v>1759</v>
      </c>
      <c r="C278" t="s">
        <v>24</v>
      </c>
      <c r="D278" t="s">
        <v>25</v>
      </c>
      <c r="E278" t="s">
        <v>1751</v>
      </c>
      <c r="F278" s="2" t="n">
        <f>HYPERLINK("https://patents.google.com/patent/US20080259829","Google")</f>
        <v>0.0</v>
      </c>
      <c r="G278" s="2" t="n">
        <f>HYPERLINK("https://patentcenter.uspto.gov/applications/11788545","Patent Center")</f>
        <v>0.0</v>
      </c>
      <c r="H278" s="2" t="n">
        <f>HYPERLINK("https://worldwide.espacenet.com/patent/search?q=US20080259829","Espacenet")</f>
        <v>0.0</v>
      </c>
      <c r="I278" s="2" t="n">
        <f>HYPERLINK("https://ppubs.uspto.gov/pubwebapp/external.html?q=20080259829.pn.","USPTO")</f>
        <v>0.0</v>
      </c>
      <c r="J278" s="2" t="n">
        <f>HYPERLINK("https://image-ppubs.uspto.gov/dirsearch-public/print/downloadPdf/20080259829","USPTO PDF")</f>
        <v>0.0</v>
      </c>
      <c r="K278" s="2" t="n">
        <f>HYPERLINK("https://sectors.patentforecast.com/pmd/US20080259829","PMD")</f>
        <v>0.0</v>
      </c>
      <c r="L278" s="2" t="n">
        <f>HYPERLINK("https://globaldossier.uspto.gov/result/application/US/11788545/1","US20080259829")</f>
        <v>0.0</v>
      </c>
      <c r="M278" t="s">
        <v>1760</v>
      </c>
      <c r="N278" t="s">
        <v>901</v>
      </c>
      <c r="O278" t="s">
        <v>902</v>
      </c>
      <c r="P278" t="s">
        <v>1753</v>
      </c>
      <c r="Q278" s="3" t="n">
        <v>39191.0</v>
      </c>
      <c r="R278" s="3" t="n">
        <v>39744.0</v>
      </c>
      <c r="S278" s="3" t="n">
        <v>43789.47398099537</v>
      </c>
      <c r="T278" s="3" t="n">
        <v>43790.371726770834</v>
      </c>
      <c r="U278" t="s">
        <v>1761</v>
      </c>
      <c r="V278" t="s">
        <v>1755</v>
      </c>
    </row>
    <row r="279">
      <c r="A279" t="s">
        <v>22</v>
      </c>
      <c r="B279" t="s">
        <v>1762</v>
      </c>
      <c r="C279" t="s">
        <v>24</v>
      </c>
      <c r="D279" t="s">
        <v>25</v>
      </c>
      <c r="E279" t="s">
        <v>1763</v>
      </c>
      <c r="F279" s="2" t="n">
        <f>HYPERLINK("https://patents.google.com/patent/US20080194246","Google")</f>
        <v>0.0</v>
      </c>
      <c r="G279" s="2" t="n">
        <f>HYPERLINK("https://patentcenter.uspto.gov/applications/11769791","Patent Center")</f>
        <v>0.0</v>
      </c>
      <c r="H279" s="2" t="n">
        <f>HYPERLINK("https://worldwide.espacenet.com/patent/search?q=US20080194246","Espacenet")</f>
        <v>0.0</v>
      </c>
      <c r="I279" s="2" t="n">
        <f>HYPERLINK("https://ppubs.uspto.gov/pubwebapp/external.html?q=20080194246.pn.","USPTO")</f>
        <v>0.0</v>
      </c>
      <c r="J279" s="2" t="n">
        <f>HYPERLINK("https://image-ppubs.uspto.gov/dirsearch-public/print/downloadPdf/20080194246","USPTO PDF")</f>
        <v>0.0</v>
      </c>
      <c r="K279" s="2" t="n">
        <f>HYPERLINK("https://sectors.patentforecast.com/pmd/US20080194246","PMD")</f>
        <v>0.0</v>
      </c>
      <c r="L279" s="2" t="n">
        <f>HYPERLINK("https://globaldossier.uspto.gov/result/application/US/11769791/1","US20080194246")</f>
        <v>0.0</v>
      </c>
      <c r="M279" t="s">
        <v>1764</v>
      </c>
      <c r="N279" t="s">
        <v>1765</v>
      </c>
      <c r="O279" t="s">
        <v>1766</v>
      </c>
      <c r="P279" t="s">
        <v>1767</v>
      </c>
      <c r="Q279" s="3" t="n">
        <v>39261.0</v>
      </c>
      <c r="R279" s="3" t="n">
        <v>39674.0</v>
      </c>
      <c r="S279" s="3" t="n">
        <v>43791.50545358796</v>
      </c>
      <c r="T279" s="3" t="n">
        <v>43791.597644733796</v>
      </c>
      <c r="U279" t="s">
        <v>1768</v>
      </c>
      <c r="V279" t="s">
        <v>1769</v>
      </c>
    </row>
    <row r="280">
      <c r="A280" t="s">
        <v>22</v>
      </c>
      <c r="B280" t="s">
        <v>1770</v>
      </c>
      <c r="C280" t="s">
        <v>24</v>
      </c>
      <c r="D280" t="s">
        <v>25</v>
      </c>
      <c r="E280" t="s">
        <v>1771</v>
      </c>
      <c r="F280" s="2" t="n">
        <f>HYPERLINK("https://patents.google.com/patent/US20080191950","Google")</f>
        <v>0.0</v>
      </c>
      <c r="G280" s="2" t="n">
        <f>HYPERLINK("https://patentcenter.uspto.gov/applications/11705213","Patent Center")</f>
        <v>0.0</v>
      </c>
      <c r="H280" s="2" t="n">
        <f>HYPERLINK("https://worldwide.espacenet.com/patent/search?q=US20080191950","Espacenet")</f>
        <v>0.0</v>
      </c>
      <c r="I280" s="2" t="n">
        <f>HYPERLINK("https://ppubs.uspto.gov/pubwebapp/external.html?q=20080191950.pn.","USPTO")</f>
        <v>0.0</v>
      </c>
      <c r="J280" s="2" t="n">
        <f>HYPERLINK("https://image-ppubs.uspto.gov/dirsearch-public/print/downloadPdf/20080191950","USPTO PDF")</f>
        <v>0.0</v>
      </c>
      <c r="K280" s="2" t="n">
        <f>HYPERLINK("https://sectors.patentforecast.com/pmd/US20080191950","PMD")</f>
        <v>0.0</v>
      </c>
      <c r="L280" s="2" t="n">
        <f>HYPERLINK("https://globaldossier.uspto.gov/result/application/US/11705213/1","US20080191950")</f>
        <v>0.0</v>
      </c>
      <c r="M280" t="s">
        <v>1772</v>
      </c>
      <c r="N280" t="s">
        <v>1773</v>
      </c>
      <c r="O280" t="s">
        <v>1774</v>
      </c>
      <c r="P280" t="s">
        <v>1775</v>
      </c>
      <c r="Q280" s="3" t="n">
        <v>39126.0</v>
      </c>
      <c r="R280" s="3" t="n">
        <v>39674.0</v>
      </c>
      <c r="S280" s="3" t="n">
        <v>43788.41205849537</v>
      </c>
      <c r="T280" s="3" t="n">
        <v>43789.41289423611</v>
      </c>
      <c r="U280" t="s">
        <v>1776</v>
      </c>
      <c r="V280" t="s">
        <v>1777</v>
      </c>
    </row>
    <row r="281">
      <c r="A281" t="s">
        <v>22</v>
      </c>
      <c r="B281" t="s">
        <v>1778</v>
      </c>
      <c r="C281" t="s">
        <v>24</v>
      </c>
      <c r="D281" t="s">
        <v>25</v>
      </c>
      <c r="E281" t="s">
        <v>1779</v>
      </c>
      <c r="F281" s="2" t="n">
        <f>HYPERLINK("https://patents.google.com/patent/US20080117112","Google")</f>
        <v>0.0</v>
      </c>
      <c r="G281" s="2" t="n">
        <f>HYPERLINK("https://patentcenter.uspto.gov/applications/11876072","Patent Center")</f>
        <v>0.0</v>
      </c>
      <c r="H281" s="2" t="n">
        <f>HYPERLINK("https://worldwide.espacenet.com/patent/search?q=US20080117112","Espacenet")</f>
        <v>0.0</v>
      </c>
      <c r="I281" s="2" t="n">
        <f>HYPERLINK("https://ppubs.uspto.gov/pubwebapp/external.html?q=20080117112.pn.","USPTO")</f>
        <v>0.0</v>
      </c>
      <c r="J281" s="2" t="n">
        <f>HYPERLINK("https://image-ppubs.uspto.gov/dirsearch-public/print/downloadPdf/20080117112","USPTO PDF")</f>
        <v>0.0</v>
      </c>
      <c r="K281" s="2" t="n">
        <f>HYPERLINK("https://sectors.patentforecast.com/pmd/US20080117112","PMD")</f>
        <v>0.0</v>
      </c>
      <c r="L281" s="2" t="n">
        <f>HYPERLINK("https://globaldossier.uspto.gov/result/application/US/11876072/1","US20080117112")</f>
        <v>0.0</v>
      </c>
      <c r="M281" t="s">
        <v>1780</v>
      </c>
      <c r="N281" t="s">
        <v>227</v>
      </c>
      <c r="O281" t="s">
        <v>228</v>
      </c>
      <c r="P281" t="s">
        <v>1781</v>
      </c>
      <c r="Q281" s="3" t="n">
        <v>39377.0</v>
      </c>
      <c r="R281" s="3" t="n">
        <v>39590.0</v>
      </c>
      <c r="S281" s="3" t="n">
        <v>43791.39364809028</v>
      </c>
      <c r="T281" s="3" t="n">
        <v>43791.39502615741</v>
      </c>
      <c r="U281" t="s">
        <v>1782</v>
      </c>
      <c r="V281" t="s">
        <v>1783</v>
      </c>
    </row>
    <row r="282">
      <c r="A282" t="s">
        <v>22</v>
      </c>
      <c r="B282" t="s">
        <v>1784</v>
      </c>
      <c r="C282" t="s">
        <v>24</v>
      </c>
      <c r="D282" t="s">
        <v>25</v>
      </c>
      <c r="E282" t="s">
        <v>1785</v>
      </c>
      <c r="F282" s="2" t="n">
        <f>HYPERLINK("https://patents.google.com/patent/US20080113676","Google")</f>
        <v>0.0</v>
      </c>
      <c r="G282" s="2" t="n">
        <f>HYPERLINK("https://patentcenter.uspto.gov/applications/11732034","Patent Center")</f>
        <v>0.0</v>
      </c>
      <c r="H282" s="2" t="n">
        <f>HYPERLINK("https://worldwide.espacenet.com/patent/search?q=US20080113676","Espacenet")</f>
        <v>0.0</v>
      </c>
      <c r="I282" s="2" t="n">
        <f>HYPERLINK("https://ppubs.uspto.gov/pubwebapp/external.html?q=20080113676.pn.","USPTO")</f>
        <v>0.0</v>
      </c>
      <c r="J282" s="2" t="n">
        <f>HYPERLINK("https://image-ppubs.uspto.gov/dirsearch-public/print/downloadPdf/20080113676","USPTO PDF")</f>
        <v>0.0</v>
      </c>
      <c r="K282" s="2" t="n">
        <f>HYPERLINK("https://sectors.patentforecast.com/pmd/US20080113676","PMD")</f>
        <v>0.0</v>
      </c>
      <c r="L282" s="2" t="n">
        <f>HYPERLINK("https://globaldossier.uspto.gov/result/application/US/11732034/1","US20080113676")</f>
        <v>0.0</v>
      </c>
      <c r="M282" t="s">
        <v>1786</v>
      </c>
      <c r="N282" t="s">
        <v>1787</v>
      </c>
      <c r="O282" t="s">
        <v>1788</v>
      </c>
      <c r="P282" t="s">
        <v>1789</v>
      </c>
      <c r="Q282" s="3" t="n">
        <v>39174.0</v>
      </c>
      <c r="R282" s="3" t="n">
        <v>39583.0</v>
      </c>
      <c r="S282" s="3" t="n">
        <v>43791.50672763889</v>
      </c>
      <c r="T282" s="3" t="n">
        <v>43791.51476064815</v>
      </c>
      <c r="U282" t="s">
        <v>1790</v>
      </c>
      <c r="V282" t="s">
        <v>1791</v>
      </c>
    </row>
    <row r="283">
      <c r="A283" t="s">
        <v>22</v>
      </c>
      <c r="B283" t="s">
        <v>1792</v>
      </c>
      <c r="C283" t="s">
        <v>61</v>
      </c>
      <c r="D283" t="s">
        <v>61</v>
      </c>
      <c r="E283" t="s">
        <v>1793</v>
      </c>
      <c r="F283" s="2" t="n">
        <f>HYPERLINK("https://patents.google.com/patent/US20080030404","Google")</f>
        <v>0.0</v>
      </c>
      <c r="G283" s="2" t="n">
        <f>HYPERLINK("https://patentcenter.uspto.gov/applications/11230376","Patent Center")</f>
        <v>0.0</v>
      </c>
      <c r="H283" s="2" t="n">
        <f>HYPERLINK("https://worldwide.espacenet.com/patent/search?q=US20080030404","Espacenet")</f>
        <v>0.0</v>
      </c>
      <c r="I283" s="2" t="n">
        <f>HYPERLINK("https://ppubs.uspto.gov/pubwebapp/external.html?q=20080030404.pn.","USPTO")</f>
        <v>0.0</v>
      </c>
      <c r="J283" s="2" t="n">
        <f>HYPERLINK("https://image-ppubs.uspto.gov/dirsearch-public/print/downloadPdf/20080030404","USPTO PDF")</f>
        <v>0.0</v>
      </c>
      <c r="K283" s="2" t="n">
        <f>HYPERLINK("https://sectors.patentforecast.com/pmd/US20080030404","PMD")</f>
        <v>0.0</v>
      </c>
      <c r="L283" s="2" t="n">
        <f>HYPERLINK("https://globaldossier.uspto.gov/result/application/US/11230376/1","US20080030404")</f>
        <v>0.0</v>
      </c>
      <c r="M283" t="s">
        <v>1794</v>
      </c>
      <c r="N283" t="s">
        <v>1773</v>
      </c>
      <c r="O283" t="s">
        <v>1774</v>
      </c>
      <c r="P283" t="s">
        <v>1795</v>
      </c>
      <c r="Q283" s="3" t="n">
        <v>38615.0</v>
      </c>
      <c r="R283" s="3" t="n">
        <v>39485.0</v>
      </c>
      <c r="S283" s="3" t="n">
        <v>43788.41205849537</v>
      </c>
      <c r="T283" s="3" t="n">
        <v>43788.6818525</v>
      </c>
      <c r="U283" t="s">
        <v>1796</v>
      </c>
      <c r="V283" t="s">
        <v>1797</v>
      </c>
    </row>
    <row r="284">
      <c r="A284" t="s">
        <v>22</v>
      </c>
      <c r="B284" t="s">
        <v>1798</v>
      </c>
      <c r="C284" t="s">
        <v>24</v>
      </c>
      <c r="D284" t="s">
        <v>25</v>
      </c>
      <c r="E284" t="s">
        <v>1799</v>
      </c>
      <c r="F284" s="2" t="n">
        <f>HYPERLINK("https://patents.google.com/patent/US20080018467","Google")</f>
        <v>0.0</v>
      </c>
      <c r="G284" s="2" t="n">
        <f>HYPERLINK("https://patentcenter.uspto.gov/applications/11459085","Patent Center")</f>
        <v>0.0</v>
      </c>
      <c r="H284" s="2" t="n">
        <f>HYPERLINK("https://worldwide.espacenet.com/patent/search?q=US20080018467","Espacenet")</f>
        <v>0.0</v>
      </c>
      <c r="I284" s="2" t="n">
        <f>HYPERLINK("https://ppubs.uspto.gov/pubwebapp/external.html?q=20080018467.pn.","USPTO")</f>
        <v>0.0</v>
      </c>
      <c r="J284" s="2" t="n">
        <f>HYPERLINK("https://image-ppubs.uspto.gov/dirsearch-public/print/downloadPdf/20080018467","USPTO PDF")</f>
        <v>0.0</v>
      </c>
      <c r="K284" s="2" t="n">
        <f>HYPERLINK("https://sectors.patentforecast.com/pmd/US20080018467","PMD")</f>
        <v>0.0</v>
      </c>
      <c r="L284" s="2" t="n">
        <f>HYPERLINK("https://globaldossier.uspto.gov/result/application/US/11459085/1","US20080018467")</f>
        <v>0.0</v>
      </c>
      <c r="M284" t="s">
        <v>1800</v>
      </c>
      <c r="N284" t="s">
        <v>1801</v>
      </c>
      <c r="O284" t="s">
        <v>1802</v>
      </c>
      <c r="P284" t="s">
        <v>1803</v>
      </c>
      <c r="Q284" s="3" t="n">
        <v>38919.0</v>
      </c>
      <c r="R284" s="3" t="n">
        <v>39471.0</v>
      </c>
      <c r="S284" s="3" t="n">
        <v>43805.00283711805</v>
      </c>
      <c r="T284" s="3" t="n">
        <v>43801.41574638889</v>
      </c>
      <c r="U284" t="s">
        <v>1804</v>
      </c>
      <c r="V284" t="s">
        <v>1805</v>
      </c>
    </row>
    <row r="285">
      <c r="A285" t="s">
        <v>22</v>
      </c>
      <c r="B285" t="s">
        <v>1806</v>
      </c>
      <c r="C285" t="s">
        <v>24</v>
      </c>
      <c r="D285" t="s">
        <v>25</v>
      </c>
      <c r="E285" t="s">
        <v>1807</v>
      </c>
      <c r="F285" s="2" t="n">
        <f>HYPERLINK("https://patents.google.com/patent/US20070177578","Google")</f>
        <v>0.0</v>
      </c>
      <c r="G285" s="2" t="n">
        <f>HYPERLINK("https://patentcenter.uspto.gov/applications/11329071","Patent Center")</f>
        <v>0.0</v>
      </c>
      <c r="H285" s="2" t="n">
        <f>HYPERLINK("https://worldwide.espacenet.com/patent/search?q=US20070177578","Espacenet")</f>
        <v>0.0</v>
      </c>
      <c r="I285" s="2" t="n">
        <f>HYPERLINK("https://ppubs.uspto.gov/pubwebapp/external.html?q=20070177578.pn.","USPTO")</f>
        <v>0.0</v>
      </c>
      <c r="J285" s="2" t="n">
        <f>HYPERLINK("https://image-ppubs.uspto.gov/dirsearch-public/print/downloadPdf/20070177578","USPTO PDF")</f>
        <v>0.0</v>
      </c>
      <c r="K285" s="2" t="n">
        <f>HYPERLINK("https://sectors.patentforecast.com/pmd/US20070177578","PMD")</f>
        <v>0.0</v>
      </c>
      <c r="L285" s="2" t="n">
        <f>HYPERLINK("https://globaldossier.uspto.gov/result/application/US/11329071/1","US20070177578")</f>
        <v>0.0</v>
      </c>
      <c r="M285" t="s">
        <v>1808</v>
      </c>
      <c r="N285" t="s">
        <v>1275</v>
      </c>
      <c r="O285" t="s">
        <v>1275</v>
      </c>
      <c r="P285" t="s">
        <v>1809</v>
      </c>
      <c r="Q285" s="3" t="n">
        <v>38728.0</v>
      </c>
      <c r="R285" s="3" t="n">
        <v>39296.0</v>
      </c>
      <c r="S285" s="3" t="n">
        <v>43791.41136060185</v>
      </c>
      <c r="T285" s="3" t="n">
        <v>43791.52660305556</v>
      </c>
      <c r="U285" t="s">
        <v>1810</v>
      </c>
      <c r="V285" t="s">
        <v>1811</v>
      </c>
    </row>
    <row r="286">
      <c r="A286" t="s">
        <v>22</v>
      </c>
      <c r="B286" t="s">
        <v>1812</v>
      </c>
      <c r="C286" t="s">
        <v>24</v>
      </c>
      <c r="D286" t="s">
        <v>25</v>
      </c>
      <c r="E286" t="s">
        <v>1668</v>
      </c>
      <c r="F286" s="2" t="n">
        <f>HYPERLINK("https://patents.google.com/patent/US20070151881","Google")</f>
        <v>0.0</v>
      </c>
      <c r="G286" s="2" t="n">
        <f>HYPERLINK("https://patentcenter.uspto.gov/applications/11710030","Patent Center")</f>
        <v>0.0</v>
      </c>
      <c r="H286" s="2" t="n">
        <f>HYPERLINK("https://worldwide.espacenet.com/patent/search?q=US20070151881","Espacenet")</f>
        <v>0.0</v>
      </c>
      <c r="I286" s="2" t="n">
        <f>HYPERLINK("https://ppubs.uspto.gov/pubwebapp/external.html?q=20070151881.pn.","USPTO")</f>
        <v>0.0</v>
      </c>
      <c r="J286" s="2" t="n">
        <f>HYPERLINK("https://image-ppubs.uspto.gov/dirsearch-public/print/downloadPdf/20070151881","USPTO PDF")</f>
        <v>0.0</v>
      </c>
      <c r="K286" s="2" t="n">
        <f>HYPERLINK("https://sectors.patentforecast.com/pmd/US20070151881","PMD")</f>
        <v>0.0</v>
      </c>
      <c r="L286" s="2" t="n">
        <f>HYPERLINK("https://globaldossier.uspto.gov/result/application/US/11710030/1","US20070151881")</f>
        <v>0.0</v>
      </c>
      <c r="M286" t="s">
        <v>1813</v>
      </c>
      <c r="N286" t="s">
        <v>1572</v>
      </c>
      <c r="O286" t="s">
        <v>1573</v>
      </c>
      <c r="P286" t="s">
        <v>1574</v>
      </c>
      <c r="Q286" s="3" t="n">
        <v>39136.0</v>
      </c>
      <c r="R286" s="3" t="n">
        <v>39268.0</v>
      </c>
      <c r="S286" s="3" t="n">
        <v>43787.479875219906</v>
      </c>
      <c r="T286" s="3" t="n">
        <v>43791.46381488426</v>
      </c>
      <c r="U286" t="s">
        <v>1575</v>
      </c>
      <c r="V286" t="s">
        <v>1576</v>
      </c>
    </row>
    <row r="287">
      <c r="A287" t="s">
        <v>22</v>
      </c>
      <c r="B287" t="s">
        <v>1814</v>
      </c>
      <c r="C287" t="s">
        <v>24</v>
      </c>
      <c r="D287" t="s">
        <v>25</v>
      </c>
      <c r="E287" t="s">
        <v>1815</v>
      </c>
      <c r="F287" s="2" t="n">
        <f>HYPERLINK("https://patents.google.com/patent/US20070115942","Google")</f>
        <v>0.0</v>
      </c>
      <c r="G287" s="2" t="n">
        <f>HYPERLINK("https://patentcenter.uspto.gov/applications/11468617","Patent Center")</f>
        <v>0.0</v>
      </c>
      <c r="H287" s="2" t="n">
        <f>HYPERLINK("https://worldwide.espacenet.com/patent/search?q=US20070115942","Espacenet")</f>
        <v>0.0</v>
      </c>
      <c r="I287" s="2" t="n">
        <f>HYPERLINK("https://ppubs.uspto.gov/pubwebapp/external.html?q=20070115942.pn.","USPTO")</f>
        <v>0.0</v>
      </c>
      <c r="J287" s="2" t="n">
        <f>HYPERLINK("https://image-ppubs.uspto.gov/dirsearch-public/print/downloadPdf/20070115942","USPTO PDF")</f>
        <v>0.0</v>
      </c>
      <c r="K287" s="2" t="n">
        <f>HYPERLINK("https://sectors.patentforecast.com/pmd/US20070115942","PMD")</f>
        <v>0.0</v>
      </c>
      <c r="L287" s="2" t="n">
        <f>HYPERLINK("https://globaldossier.uspto.gov/result/application/US/11468617/1","US20070115942")</f>
        <v>0.0</v>
      </c>
      <c r="M287" t="s">
        <v>1816</v>
      </c>
      <c r="N287" t="s">
        <v>1817</v>
      </c>
      <c r="O287" t="s">
        <v>1818</v>
      </c>
      <c r="P287" t="s">
        <v>1819</v>
      </c>
      <c r="Q287" s="3" t="n">
        <v>38959.0</v>
      </c>
      <c r="R287" s="3" t="n">
        <v>39226.0</v>
      </c>
      <c r="S287" s="3" t="n">
        <v>43791.50672763889</v>
      </c>
      <c r="T287" s="3" t="n">
        <v>43791.52750354166</v>
      </c>
      <c r="U287" t="s">
        <v>1820</v>
      </c>
      <c r="V287" t="s">
        <v>1821</v>
      </c>
    </row>
    <row r="288">
      <c r="A288" t="s">
        <v>22</v>
      </c>
      <c r="B288" t="s">
        <v>1822</v>
      </c>
      <c r="C288" t="s">
        <v>24</v>
      </c>
      <c r="D288" t="s">
        <v>25</v>
      </c>
      <c r="E288" t="s">
        <v>1823</v>
      </c>
      <c r="F288" s="2" t="n">
        <f>HYPERLINK("https://patents.google.com/patent/US20070110017","Google")</f>
        <v>0.0</v>
      </c>
      <c r="G288" s="2" t="n">
        <f>HYPERLINK("https://patentcenter.uspto.gov/applications/11650634","Patent Center")</f>
        <v>0.0</v>
      </c>
      <c r="H288" s="2" t="n">
        <f>HYPERLINK("https://worldwide.espacenet.com/patent/search?q=US20070110017","Espacenet")</f>
        <v>0.0</v>
      </c>
      <c r="I288" s="2" t="n">
        <f>HYPERLINK("https://ppubs.uspto.gov/pubwebapp/external.html?q=20070110017.pn.","USPTO")</f>
        <v>0.0</v>
      </c>
      <c r="J288" s="2" t="n">
        <f>HYPERLINK("https://image-ppubs.uspto.gov/dirsearch-public/print/downloadPdf/20070110017","USPTO PDF")</f>
        <v>0.0</v>
      </c>
      <c r="K288" s="2" t="n">
        <f>HYPERLINK("https://sectors.patentforecast.com/pmd/US20070110017","PMD")</f>
        <v>0.0</v>
      </c>
      <c r="L288" s="2" t="n">
        <f>HYPERLINK("https://globaldossier.uspto.gov/result/application/US/11650634/1","US20070110017")</f>
        <v>0.0</v>
      </c>
      <c r="M288" t="s">
        <v>1824</v>
      </c>
      <c r="N288" t="s">
        <v>1825</v>
      </c>
      <c r="O288" t="s">
        <v>1826</v>
      </c>
      <c r="P288" t="s">
        <v>1634</v>
      </c>
      <c r="Q288" s="3" t="n">
        <v>39088.0</v>
      </c>
      <c r="R288" s="3" t="n">
        <v>39219.0</v>
      </c>
      <c r="S288" s="3" t="n">
        <v>43790.78696880787</v>
      </c>
      <c r="T288" s="3" t="n">
        <v>43791.4736072338</v>
      </c>
      <c r="U288" t="s">
        <v>1635</v>
      </c>
      <c r="V288" t="s">
        <v>1827</v>
      </c>
    </row>
    <row r="289">
      <c r="A289" t="s">
        <v>22</v>
      </c>
      <c r="B289" t="s">
        <v>1828</v>
      </c>
      <c r="C289" t="s">
        <v>168</v>
      </c>
      <c r="D289" t="s">
        <v>168</v>
      </c>
      <c r="E289" t="s">
        <v>1829</v>
      </c>
      <c r="F289" s="2" t="n">
        <f>HYPERLINK("https://patents.google.com/patent/US20070109984","Google")</f>
        <v>0.0</v>
      </c>
      <c r="G289" s="2" t="n">
        <f>HYPERLINK("https://patentcenter.uspto.gov/applications/11544224","Patent Center")</f>
        <v>0.0</v>
      </c>
      <c r="H289" s="2" t="n">
        <f>HYPERLINK("https://worldwide.espacenet.com/patent/search?q=US20070109984","Espacenet")</f>
        <v>0.0</v>
      </c>
      <c r="I289" s="2" t="n">
        <f>HYPERLINK("https://ppubs.uspto.gov/pubwebapp/external.html?q=20070109984.pn.","USPTO")</f>
        <v>0.0</v>
      </c>
      <c r="J289" s="2" t="n">
        <f>HYPERLINK("https://image-ppubs.uspto.gov/dirsearch-public/print/downloadPdf/20070109984","USPTO PDF")</f>
        <v>0.0</v>
      </c>
      <c r="K289" s="2" t="n">
        <f>HYPERLINK("https://sectors.patentforecast.com/pmd/US20070109984","PMD")</f>
        <v>0.0</v>
      </c>
      <c r="L289" s="2" t="n">
        <f>HYPERLINK("https://globaldossier.uspto.gov/result/application/US/11544224/1","US20070109984")</f>
        <v>0.0</v>
      </c>
      <c r="M289" t="s">
        <v>1830</v>
      </c>
      <c r="N289" t="s">
        <v>1505</v>
      </c>
      <c r="O289" t="s">
        <v>1506</v>
      </c>
      <c r="P289" t="s">
        <v>1507</v>
      </c>
      <c r="Q289" s="3" t="n">
        <v>38996.0</v>
      </c>
      <c r="R289" s="3" t="n">
        <v>39219.0</v>
      </c>
      <c r="S289" s="3" t="n">
        <v>43833.016503391205</v>
      </c>
      <c r="T289" s="3" t="n">
        <v>43791.47145420139</v>
      </c>
      <c r="U289" t="s">
        <v>1508</v>
      </c>
      <c r="V289" t="s">
        <v>1509</v>
      </c>
    </row>
    <row r="290">
      <c r="A290" t="s">
        <v>22</v>
      </c>
      <c r="B290" t="s">
        <v>1831</v>
      </c>
      <c r="C290" t="s">
        <v>168</v>
      </c>
      <c r="D290" t="s">
        <v>168</v>
      </c>
      <c r="E290" t="s">
        <v>1832</v>
      </c>
      <c r="F290" s="2" t="n">
        <f>HYPERLINK("https://patents.google.com/patent/US20070083921","Google")</f>
        <v>0.0</v>
      </c>
      <c r="G290" s="2" t="n">
        <f>HYPERLINK("https://patentcenter.uspto.gov/applications/11248030","Patent Center")</f>
        <v>0.0</v>
      </c>
      <c r="H290" s="2" t="n">
        <f>HYPERLINK("https://worldwide.espacenet.com/patent/search?q=US20070083921","Espacenet")</f>
        <v>0.0</v>
      </c>
      <c r="I290" s="2" t="n">
        <f>HYPERLINK("https://ppubs.uspto.gov/pubwebapp/external.html?q=20070083921.pn.","USPTO")</f>
        <v>0.0</v>
      </c>
      <c r="J290" s="2" t="n">
        <f>HYPERLINK("https://image-ppubs.uspto.gov/dirsearch-public/print/downloadPdf/20070083921","USPTO PDF")</f>
        <v>0.0</v>
      </c>
      <c r="K290" s="2" t="n">
        <f>HYPERLINK("https://sectors.patentforecast.com/pmd/US20070083921","PMD")</f>
        <v>0.0</v>
      </c>
      <c r="L290" s="2" t="n">
        <f>HYPERLINK("https://globaldossier.uspto.gov/result/application/US/11248030/1","US20070083921")</f>
        <v>0.0</v>
      </c>
      <c r="M290" t="s">
        <v>1833</v>
      </c>
      <c r="N290" t="s">
        <v>227</v>
      </c>
      <c r="O290" t="s">
        <v>228</v>
      </c>
      <c r="P290" t="s">
        <v>1834</v>
      </c>
      <c r="Q290" s="3" t="n">
        <v>38636.0</v>
      </c>
      <c r="R290" s="3" t="n">
        <v>39184.0</v>
      </c>
      <c r="S290" s="3" t="n">
        <v>43796.001672847226</v>
      </c>
      <c r="T290" s="3" t="n">
        <v>43789.68383108796</v>
      </c>
      <c r="U290" t="s">
        <v>1835</v>
      </c>
      <c r="V290" t="s">
        <v>1836</v>
      </c>
    </row>
    <row r="291">
      <c r="A291" t="s">
        <v>22</v>
      </c>
      <c r="B291" t="s">
        <v>1837</v>
      </c>
      <c r="C291" t="s">
        <v>24</v>
      </c>
      <c r="D291" t="s">
        <v>25</v>
      </c>
      <c r="E291" t="s">
        <v>1838</v>
      </c>
      <c r="F291" s="2" t="n">
        <f>HYPERLINK("https://patents.google.com/patent/US20070082651","Google")</f>
        <v>0.0</v>
      </c>
      <c r="G291" s="2" t="n">
        <f>HYPERLINK("https://patentcenter.uspto.gov/applications/11344759","Patent Center")</f>
        <v>0.0</v>
      </c>
      <c r="H291" s="2" t="n">
        <f>HYPERLINK("https://worldwide.espacenet.com/patent/search?q=US20070082651","Espacenet")</f>
        <v>0.0</v>
      </c>
      <c r="I291" s="2" t="n">
        <f>HYPERLINK("https://ppubs.uspto.gov/pubwebapp/external.html?q=20070082651.pn.","USPTO")</f>
        <v>0.0</v>
      </c>
      <c r="J291" s="2" t="n">
        <f>HYPERLINK("https://image-ppubs.uspto.gov/dirsearch-public/print/downloadPdf/20070082651","USPTO PDF")</f>
        <v>0.0</v>
      </c>
      <c r="K291" s="2" t="n">
        <f>HYPERLINK("https://sectors.patentforecast.com/pmd/US20070082651","PMD")</f>
        <v>0.0</v>
      </c>
      <c r="L291" s="2" t="n">
        <f>HYPERLINK("https://globaldossier.uspto.gov/result/application/US/11344759/1","US20070082651")</f>
        <v>0.0</v>
      </c>
      <c r="M291" t="s">
        <v>1839</v>
      </c>
      <c r="N291" t="s">
        <v>1840</v>
      </c>
      <c r="O291" t="s">
        <v>1841</v>
      </c>
      <c r="P291" t="s">
        <v>1842</v>
      </c>
      <c r="Q291" s="3" t="n">
        <v>38749.0</v>
      </c>
      <c r="R291" s="3" t="n">
        <v>39184.0</v>
      </c>
      <c r="S291" s="3" t="n">
        <v>43789.56471119213</v>
      </c>
      <c r="T291" s="3" t="n">
        <v>43789.62449789352</v>
      </c>
      <c r="U291" t="s">
        <v>1843</v>
      </c>
      <c r="V291" t="s">
        <v>1844</v>
      </c>
    </row>
    <row r="292">
      <c r="A292" t="s">
        <v>22</v>
      </c>
      <c r="B292" t="s">
        <v>1845</v>
      </c>
      <c r="C292" t="s">
        <v>24</v>
      </c>
      <c r="D292" t="s">
        <v>25</v>
      </c>
      <c r="E292" t="s">
        <v>1846</v>
      </c>
      <c r="F292" s="2" t="n">
        <f>HYPERLINK("https://patents.google.com/patent/US20060055623","Google")</f>
        <v>0.0</v>
      </c>
      <c r="G292" s="2" t="n">
        <f>HYPERLINK("https://patentcenter.uspto.gov/applications/10941141","Patent Center")</f>
        <v>0.0</v>
      </c>
      <c r="H292" s="2" t="n">
        <f>HYPERLINK("https://worldwide.espacenet.com/patent/search?q=US20060055623","Espacenet")</f>
        <v>0.0</v>
      </c>
      <c r="I292" s="2" t="n">
        <f>HYPERLINK("https://ppubs.uspto.gov/pubwebapp/external.html?q=20060055623.pn.","USPTO")</f>
        <v>0.0</v>
      </c>
      <c r="J292" s="2" t="n">
        <f>HYPERLINK("https://image-ppubs.uspto.gov/dirsearch-public/print/downloadPdf/20060055623","USPTO PDF")</f>
        <v>0.0</v>
      </c>
      <c r="K292" s="2" t="n">
        <f>HYPERLINK("https://sectors.patentforecast.com/pmd/US20060055623","PMD")</f>
        <v>0.0</v>
      </c>
      <c r="L292" s="2" t="n">
        <f>HYPERLINK("https://globaldossier.uspto.gov/result/application/US/10941141/1","US20060055623")</f>
        <v>0.0</v>
      </c>
      <c r="M292" t="s">
        <v>1847</v>
      </c>
      <c r="N292" t="s">
        <v>1848</v>
      </c>
      <c r="O292" t="s">
        <v>1849</v>
      </c>
      <c r="P292" t="s">
        <v>1850</v>
      </c>
      <c r="Q292" s="3" t="n">
        <v>38244.0</v>
      </c>
      <c r="R292" s="3" t="n">
        <v>38792.0</v>
      </c>
      <c r="S292" s="3" t="n">
        <v>43796.001672858794</v>
      </c>
      <c r="T292" s="3" t="n">
        <v>43789.56149732639</v>
      </c>
      <c r="U292" t="s">
        <v>1851</v>
      </c>
      <c r="V292" t="s">
        <v>1852</v>
      </c>
    </row>
    <row r="293">
      <c r="A293" t="s">
        <v>22</v>
      </c>
      <c r="B293" t="s">
        <v>1853</v>
      </c>
      <c r="C293" t="s">
        <v>24</v>
      </c>
      <c r="D293" t="s">
        <v>25</v>
      </c>
      <c r="E293" t="s">
        <v>1854</v>
      </c>
      <c r="F293" s="2" t="n">
        <f>HYPERLINK("https://patents.google.com/patent/US20050226200","Google")</f>
        <v>0.0</v>
      </c>
      <c r="G293" s="2" t="n">
        <f>HYPERLINK("https://patentcenter.uspto.gov/applications/10907187","Patent Center")</f>
        <v>0.0</v>
      </c>
      <c r="H293" s="2" t="n">
        <f>HYPERLINK("https://worldwide.espacenet.com/patent/search?q=US20050226200","Espacenet")</f>
        <v>0.0</v>
      </c>
      <c r="I293" s="2" t="n">
        <f>HYPERLINK("https://ppubs.uspto.gov/pubwebapp/external.html?q=20050226200.pn.","USPTO")</f>
        <v>0.0</v>
      </c>
      <c r="J293" s="2" t="n">
        <f>HYPERLINK("https://image-ppubs.uspto.gov/dirsearch-public/print/downloadPdf/20050226200","USPTO PDF")</f>
        <v>0.0</v>
      </c>
      <c r="K293" s="2" t="n">
        <f>HYPERLINK("https://sectors.patentforecast.com/pmd/US20050226200","PMD")</f>
        <v>0.0</v>
      </c>
      <c r="L293" s="2" t="n">
        <f>HYPERLINK("https://globaldossier.uspto.gov/result/application/US/10907187/1","US20050226200")</f>
        <v>0.0</v>
      </c>
      <c r="M293" t="s">
        <v>1855</v>
      </c>
      <c r="N293" t="s">
        <v>1856</v>
      </c>
      <c r="O293" t="s">
        <v>1856</v>
      </c>
      <c r="P293" t="s">
        <v>1857</v>
      </c>
      <c r="Q293" s="3" t="n">
        <v>38434.0</v>
      </c>
      <c r="R293" s="3" t="n">
        <v>38638.0</v>
      </c>
      <c r="S293" s="3" t="n">
        <v>43788.68924930556</v>
      </c>
      <c r="T293" s="3" t="n">
        <v>43789.449925057874</v>
      </c>
      <c r="U293" t="s">
        <v>1858</v>
      </c>
      <c r="V293" t="s">
        <v>1859</v>
      </c>
    </row>
    <row r="294">
      <c r="A294" t="s">
        <v>22</v>
      </c>
      <c r="B294" t="s">
        <v>1860</v>
      </c>
      <c r="C294" t="s">
        <v>24</v>
      </c>
      <c r="D294" t="s">
        <v>25</v>
      </c>
      <c r="E294" t="s">
        <v>1861</v>
      </c>
      <c r="F294" s="2" t="n">
        <f>HYPERLINK("https://patents.google.com/patent/US20050137942","Google")</f>
        <v>0.0</v>
      </c>
      <c r="G294" s="2" t="n">
        <f>HYPERLINK("https://patentcenter.uspto.gov/applications/10943212","Patent Center")</f>
        <v>0.0</v>
      </c>
      <c r="H294" s="2" t="n">
        <f>HYPERLINK("https://worldwide.espacenet.com/patent/search?q=US20050137942","Espacenet")</f>
        <v>0.0</v>
      </c>
      <c r="I294" s="2" t="n">
        <f>HYPERLINK("https://ppubs.uspto.gov/pubwebapp/external.html?q=20050137942.pn.","USPTO")</f>
        <v>0.0</v>
      </c>
      <c r="J294" s="2" t="n">
        <f>HYPERLINK("https://image-ppubs.uspto.gov/dirsearch-public/print/downloadPdf/20050137942","USPTO PDF")</f>
        <v>0.0</v>
      </c>
      <c r="K294" s="2" t="n">
        <f>HYPERLINK("https://sectors.patentforecast.com/pmd/US20050137942","PMD")</f>
        <v>0.0</v>
      </c>
      <c r="L294" s="2" t="n">
        <f>HYPERLINK("https://globaldossier.uspto.gov/result/application/US/10943212/1","US20050137942")</f>
        <v>0.0</v>
      </c>
      <c r="M294" t="s">
        <v>1862</v>
      </c>
      <c r="N294" t="s">
        <v>227</v>
      </c>
      <c r="O294" t="s">
        <v>228</v>
      </c>
      <c r="P294" t="s">
        <v>1863</v>
      </c>
      <c r="Q294" s="3" t="n">
        <v>38247.0</v>
      </c>
      <c r="R294" s="3" t="n">
        <v>38526.0</v>
      </c>
      <c r="S294" s="3" t="n">
        <v>44497.59697423611</v>
      </c>
      <c r="T294" s="3" t="n">
        <v>44497.638802546295</v>
      </c>
      <c r="U294" t="s">
        <v>1864</v>
      </c>
      <c r="V294" t="s">
        <v>1865</v>
      </c>
    </row>
    <row r="295">
      <c r="A295" t="s">
        <v>22</v>
      </c>
      <c r="B295" t="s">
        <v>1866</v>
      </c>
      <c r="C295" t="s">
        <v>24</v>
      </c>
      <c r="D295" t="s">
        <v>25</v>
      </c>
      <c r="E295" t="s">
        <v>1867</v>
      </c>
      <c r="F295" s="2" t="n">
        <f>HYPERLINK("https://patents.google.com/patent/US20050060543","Google")</f>
        <v>0.0</v>
      </c>
      <c r="G295" s="2" t="n">
        <f>HYPERLINK("https://patentcenter.uspto.gov/applications/10716564","Patent Center")</f>
        <v>0.0</v>
      </c>
      <c r="H295" s="2" t="n">
        <f>HYPERLINK("https://worldwide.espacenet.com/patent/search?q=US20050060543","Espacenet")</f>
        <v>0.0</v>
      </c>
      <c r="I295" s="2" t="n">
        <f>HYPERLINK("https://ppubs.uspto.gov/pubwebapp/external.html?q=20050060543.pn.","USPTO")</f>
        <v>0.0</v>
      </c>
      <c r="J295" s="2" t="n">
        <f>HYPERLINK("https://image-ppubs.uspto.gov/dirsearch-public/print/downloadPdf/20050060543","USPTO PDF")</f>
        <v>0.0</v>
      </c>
      <c r="K295" s="2" t="n">
        <f>HYPERLINK("https://sectors.patentforecast.com/pmd/US20050060543","PMD")</f>
        <v>0.0</v>
      </c>
      <c r="L295" s="2" t="n">
        <f>HYPERLINK("https://globaldossier.uspto.gov/result/application/US/10716564/1","US20050060543")</f>
        <v>0.0</v>
      </c>
      <c r="M295" t="s">
        <v>1868</v>
      </c>
      <c r="N295" t="s">
        <v>1275</v>
      </c>
      <c r="O295" t="s">
        <v>1275</v>
      </c>
      <c r="P295" t="s">
        <v>1869</v>
      </c>
      <c r="Q295" s="3" t="n">
        <v>37945.0</v>
      </c>
      <c r="R295" s="3" t="n">
        <v>38428.0</v>
      </c>
      <c r="S295" s="3" t="n">
        <v>43791.50672763889</v>
      </c>
      <c r="T295" s="3" t="n">
        <v>43791.52452310185</v>
      </c>
      <c r="U295" t="s">
        <v>1870</v>
      </c>
      <c r="V295" t="s">
        <v>1871</v>
      </c>
    </row>
    <row r="296">
      <c r="A296" t="s">
        <v>22</v>
      </c>
      <c r="B296" t="s">
        <v>1872</v>
      </c>
      <c r="C296" t="s">
        <v>24</v>
      </c>
      <c r="D296" t="s">
        <v>25</v>
      </c>
      <c r="E296" t="s">
        <v>1733</v>
      </c>
      <c r="F296" s="2" t="n">
        <f>HYPERLINK("https://patents.google.com/patent/US20050060539","Google")</f>
        <v>0.0</v>
      </c>
      <c r="G296" s="2" t="n">
        <f>HYPERLINK("https://patentcenter.uspto.gov/applications/10699834","Patent Center")</f>
        <v>0.0</v>
      </c>
      <c r="H296" s="2" t="n">
        <f>HYPERLINK("https://worldwide.espacenet.com/patent/search?q=US20050060539","Espacenet")</f>
        <v>0.0</v>
      </c>
      <c r="I296" s="2" t="n">
        <f>HYPERLINK("https://ppubs.uspto.gov/pubwebapp/external.html?q=20050060539.pn.","USPTO")</f>
        <v>0.0</v>
      </c>
      <c r="J296" s="2" t="n">
        <f>HYPERLINK("https://image-ppubs.uspto.gov/dirsearch-public/print/downloadPdf/20050060539","USPTO PDF")</f>
        <v>0.0</v>
      </c>
      <c r="K296" s="2" t="n">
        <f>HYPERLINK("https://sectors.patentforecast.com/pmd/US20050060539","PMD")</f>
        <v>0.0</v>
      </c>
      <c r="L296" s="2" t="n">
        <f>HYPERLINK("https://globaldossier.uspto.gov/result/application/US/10699834/1","US20050060539")</f>
        <v>0.0</v>
      </c>
      <c r="M296" t="s">
        <v>1873</v>
      </c>
      <c r="N296" t="s">
        <v>1275</v>
      </c>
      <c r="O296" t="s">
        <v>1275</v>
      </c>
      <c r="P296" t="s">
        <v>1869</v>
      </c>
      <c r="Q296" s="3" t="n">
        <v>37929.0</v>
      </c>
      <c r="R296" s="3" t="n">
        <v>38428.0</v>
      </c>
      <c r="S296" s="3" t="n">
        <v>43791.50672763889</v>
      </c>
      <c r="T296" s="3" t="n">
        <v>43791.52428856481</v>
      </c>
      <c r="U296" t="s">
        <v>1874</v>
      </c>
      <c r="V296" t="s">
        <v>1278</v>
      </c>
    </row>
    <row r="297">
      <c r="A297" t="s">
        <v>22</v>
      </c>
      <c r="B297" t="s">
        <v>1875</v>
      </c>
      <c r="C297" t="s">
        <v>24</v>
      </c>
      <c r="D297" t="s">
        <v>25</v>
      </c>
      <c r="E297" t="s">
        <v>1689</v>
      </c>
      <c r="F297" s="2" t="n">
        <f>HYPERLINK("https://patents.google.com/patent/US20050058122","Google")</f>
        <v>0.0</v>
      </c>
      <c r="G297" s="2" t="n">
        <f>HYPERLINK("https://patentcenter.uspto.gov/applications/10739289","Patent Center")</f>
        <v>0.0</v>
      </c>
      <c r="H297" s="2" t="n">
        <f>HYPERLINK("https://worldwide.espacenet.com/patent/search?q=US20050058122","Espacenet")</f>
        <v>0.0</v>
      </c>
      <c r="I297" s="2" t="n">
        <f>HYPERLINK("https://ppubs.uspto.gov/pubwebapp/external.html?q=20050058122.pn.","USPTO")</f>
        <v>0.0</v>
      </c>
      <c r="J297" s="2" t="n">
        <f>HYPERLINK("https://image-ppubs.uspto.gov/dirsearch-public/print/downloadPdf/20050058122","USPTO PDF")</f>
        <v>0.0</v>
      </c>
      <c r="K297" s="2" t="n">
        <f>HYPERLINK("https://sectors.patentforecast.com/pmd/US20050058122","PMD")</f>
        <v>0.0</v>
      </c>
      <c r="L297" s="2" t="n">
        <f>HYPERLINK("https://globaldossier.uspto.gov/result/application/US/10739289/1","US20050058122")</f>
        <v>0.0</v>
      </c>
      <c r="M297" t="s">
        <v>1876</v>
      </c>
      <c r="N297" t="s">
        <v>1275</v>
      </c>
      <c r="O297" t="s">
        <v>1275</v>
      </c>
      <c r="P297" t="s">
        <v>1877</v>
      </c>
      <c r="Q297" s="3" t="n">
        <v>37974.0</v>
      </c>
      <c r="R297" s="3" t="n">
        <v>38428.0</v>
      </c>
      <c r="S297" s="3" t="n">
        <v>43791.50672763889</v>
      </c>
      <c r="T297" s="3" t="n">
        <v>43791.52660305556</v>
      </c>
      <c r="U297" t="s">
        <v>1348</v>
      </c>
      <c r="V297" t="s">
        <v>1878</v>
      </c>
    </row>
    <row r="298">
      <c r="A298" t="s">
        <v>22</v>
      </c>
      <c r="B298" t="s">
        <v>1879</v>
      </c>
      <c r="C298" t="s">
        <v>24</v>
      </c>
      <c r="D298" t="s">
        <v>25</v>
      </c>
      <c r="E298" t="s">
        <v>1702</v>
      </c>
      <c r="F298" s="2" t="n">
        <f>HYPERLINK("https://patents.google.com/patent/US20050044358","Google")</f>
        <v>0.0</v>
      </c>
      <c r="G298" s="2" t="n">
        <f>HYPERLINK("https://patentcenter.uspto.gov/applications/10643868","Patent Center")</f>
        <v>0.0</v>
      </c>
      <c r="H298" s="2" t="n">
        <f>HYPERLINK("https://worldwide.espacenet.com/patent/search?q=US20050044358","Espacenet")</f>
        <v>0.0</v>
      </c>
      <c r="I298" s="2" t="n">
        <f>HYPERLINK("https://ppubs.uspto.gov/pubwebapp/external.html?q=20050044358.pn.","USPTO")</f>
        <v>0.0</v>
      </c>
      <c r="J298" s="2" t="n">
        <f>HYPERLINK("https://image-ppubs.uspto.gov/dirsearch-public/print/downloadPdf/20050044358","USPTO PDF")</f>
        <v>0.0</v>
      </c>
      <c r="K298" s="2" t="n">
        <f>HYPERLINK("https://sectors.patentforecast.com/pmd/US20050044358","PMD")</f>
        <v>0.0</v>
      </c>
      <c r="L298" s="2" t="n">
        <f>HYPERLINK("https://globaldossier.uspto.gov/result/application/US/10643868/1","US20050044358")</f>
        <v>0.0</v>
      </c>
      <c r="M298" t="s">
        <v>1880</v>
      </c>
      <c r="N298" t="s">
        <v>1275</v>
      </c>
      <c r="O298" t="s">
        <v>1275</v>
      </c>
      <c r="P298" t="s">
        <v>1881</v>
      </c>
      <c r="Q298" s="3" t="n">
        <v>37853.0</v>
      </c>
      <c r="R298" s="3" t="n">
        <v>38407.0</v>
      </c>
      <c r="S298" s="3" t="n">
        <v>43791.50672763889</v>
      </c>
      <c r="T298" s="3" t="n">
        <v>43791.522783506945</v>
      </c>
      <c r="U298" t="s">
        <v>1581</v>
      </c>
      <c r="V298" t="s">
        <v>1582</v>
      </c>
    </row>
    <row r="299">
      <c r="A299" t="s">
        <v>22</v>
      </c>
      <c r="B299" t="s">
        <v>1882</v>
      </c>
      <c r="C299" t="s">
        <v>24</v>
      </c>
      <c r="D299" t="s">
        <v>25</v>
      </c>
      <c r="E299" t="s">
        <v>1668</v>
      </c>
      <c r="F299" s="2" t="n">
        <f>HYPERLINK("https://patents.google.com/patent/US20050000843","Google")</f>
        <v>0.0</v>
      </c>
      <c r="G299" s="2" t="n">
        <f>HYPERLINK("https://patentcenter.uspto.gov/applications/10910080","Patent Center")</f>
        <v>0.0</v>
      </c>
      <c r="H299" s="2" t="n">
        <f>HYPERLINK("https://worldwide.espacenet.com/patent/search?q=US20050000843","Espacenet")</f>
        <v>0.0</v>
      </c>
      <c r="I299" s="2" t="n">
        <f>HYPERLINK("https://ppubs.uspto.gov/pubwebapp/external.html?q=20050000843.pn.","USPTO")</f>
        <v>0.0</v>
      </c>
      <c r="J299" s="2" t="n">
        <f>HYPERLINK("https://image-ppubs.uspto.gov/dirsearch-public/print/downloadPdf/20050000843","USPTO PDF")</f>
        <v>0.0</v>
      </c>
      <c r="K299" s="2" t="n">
        <f>HYPERLINK("https://sectors.patentforecast.com/pmd/US20050000843","PMD")</f>
        <v>0.0</v>
      </c>
      <c r="L299" s="2" t="n">
        <f>HYPERLINK("https://globaldossier.uspto.gov/result/application/US/10910080/1","US20050000843")</f>
        <v>0.0</v>
      </c>
      <c r="M299" t="s">
        <v>1883</v>
      </c>
      <c r="N299" t="s">
        <v>1572</v>
      </c>
      <c r="O299" t="s">
        <v>1573</v>
      </c>
      <c r="P299" t="s">
        <v>1884</v>
      </c>
      <c r="Q299" s="3" t="n">
        <v>38201.0</v>
      </c>
      <c r="R299" s="3" t="n">
        <v>38358.0</v>
      </c>
      <c r="S299" s="3" t="n">
        <v>43787.479875219906</v>
      </c>
      <c r="T299" s="3" t="n">
        <v>43791.46381488426</v>
      </c>
      <c r="U299" t="s">
        <v>1575</v>
      </c>
      <c r="V299" t="s">
        <v>1576</v>
      </c>
    </row>
    <row r="300">
      <c r="A300" t="s">
        <v>22</v>
      </c>
      <c r="B300" t="s">
        <v>1885</v>
      </c>
      <c r="C300" t="s">
        <v>24</v>
      </c>
      <c r="D300" t="s">
        <v>25</v>
      </c>
      <c r="E300" t="s">
        <v>1886</v>
      </c>
      <c r="F300" s="2" t="n">
        <f>HYPERLINK("https://patents.google.com/patent/US20040110043","Google")</f>
        <v>0.0</v>
      </c>
      <c r="G300" s="2" t="n">
        <f>HYPERLINK("https://patentcenter.uspto.gov/applications/10270385","Patent Center")</f>
        <v>0.0</v>
      </c>
      <c r="H300" s="2" t="n">
        <f>HYPERLINK("https://worldwide.espacenet.com/patent/search?q=US20040110043","Espacenet")</f>
        <v>0.0</v>
      </c>
      <c r="I300" s="2" t="n">
        <f>HYPERLINK("https://ppubs.uspto.gov/pubwebapp/external.html?q=20040110043.pn.","USPTO")</f>
        <v>0.0</v>
      </c>
      <c r="J300" s="2" t="n">
        <f>HYPERLINK("https://image-ppubs.uspto.gov/dirsearch-public/print/downloadPdf/20040110043","USPTO PDF")</f>
        <v>0.0</v>
      </c>
      <c r="K300" s="2" t="n">
        <f>HYPERLINK("https://sectors.patentforecast.com/pmd/US20040110043","PMD")</f>
        <v>0.0</v>
      </c>
      <c r="L300" s="2" t="n">
        <f>HYPERLINK("https://globaldossier.uspto.gov/result/application/US/10270385/1","US20040110043")</f>
        <v>0.0</v>
      </c>
      <c r="M300" t="s">
        <v>1887</v>
      </c>
      <c r="N300" t="s">
        <v>227</v>
      </c>
      <c r="O300" t="s">
        <v>228</v>
      </c>
      <c r="P300" t="s">
        <v>1888</v>
      </c>
      <c r="Q300" s="3" t="n">
        <v>37600.0</v>
      </c>
      <c r="R300" s="3" t="n">
        <v>38148.0</v>
      </c>
      <c r="S300" s="3" t="n">
        <v>43796.001672847226</v>
      </c>
      <c r="T300" s="3" t="n">
        <v>43789.6935283912</v>
      </c>
      <c r="U300" t="s">
        <v>1889</v>
      </c>
      <c r="V300" t="s">
        <v>1890</v>
      </c>
    </row>
    <row r="301">
      <c r="A301" t="s">
        <v>22</v>
      </c>
      <c r="B301" t="s">
        <v>1891</v>
      </c>
      <c r="C301" t="s">
        <v>24</v>
      </c>
      <c r="D301" t="s">
        <v>25</v>
      </c>
      <c r="E301" t="s">
        <v>1892</v>
      </c>
      <c r="F301" s="2" t="n">
        <f>HYPERLINK("https://patents.google.com/patent/US20040092228","Google")</f>
        <v>0.0</v>
      </c>
      <c r="G301" s="2" t="n">
        <f>HYPERLINK("https://patentcenter.uspto.gov/applications/10699639","Patent Center")</f>
        <v>0.0</v>
      </c>
      <c r="H301" s="2" t="n">
        <f>HYPERLINK("https://worldwide.espacenet.com/patent/search?q=US20040092228","Espacenet")</f>
        <v>0.0</v>
      </c>
      <c r="I301" s="2" t="n">
        <f>HYPERLINK("https://ppubs.uspto.gov/pubwebapp/external.html?q=20040092228.pn.","USPTO")</f>
        <v>0.0</v>
      </c>
      <c r="J301" s="2" t="n">
        <f>HYPERLINK("https://image-ppubs.uspto.gov/dirsearch-public/print/downloadPdf/20040092228","USPTO PDF")</f>
        <v>0.0</v>
      </c>
      <c r="K301" s="2" t="n">
        <f>HYPERLINK("https://sectors.patentforecast.com/pmd/US20040092228","PMD")</f>
        <v>0.0</v>
      </c>
      <c r="L301" s="2" t="n">
        <f>HYPERLINK("https://globaldossier.uspto.gov/result/application/US/10699639/1","US20040092228")</f>
        <v>0.0</v>
      </c>
      <c r="M301" t="s">
        <v>1893</v>
      </c>
      <c r="N301" t="s">
        <v>227</v>
      </c>
      <c r="O301" t="s">
        <v>228</v>
      </c>
      <c r="P301" t="s">
        <v>1894</v>
      </c>
      <c r="Q301" s="3" t="n">
        <v>37929.0</v>
      </c>
      <c r="R301" s="3" t="n">
        <v>38120.0</v>
      </c>
      <c r="S301" s="3" t="n">
        <v>43788.41205849537</v>
      </c>
      <c r="T301" s="3" t="n">
        <v>43789.416749131946</v>
      </c>
      <c r="U301" t="s">
        <v>1895</v>
      </c>
      <c r="V301" t="s">
        <v>1896</v>
      </c>
    </row>
    <row r="302">
      <c r="A302" t="s">
        <v>22</v>
      </c>
      <c r="B302" t="s">
        <v>1897</v>
      </c>
      <c r="C302" t="s">
        <v>24</v>
      </c>
      <c r="D302" t="s">
        <v>25</v>
      </c>
      <c r="E302" t="s">
        <v>1898</v>
      </c>
      <c r="F302" s="2" t="n">
        <f>HYPERLINK("https://patents.google.com/patent/US20040023635","Google")</f>
        <v>0.0</v>
      </c>
      <c r="G302" s="2" t="n">
        <f>HYPERLINK("https://patentcenter.uspto.gov/applications/10446495","Patent Center")</f>
        <v>0.0</v>
      </c>
      <c r="H302" s="2" t="n">
        <f>HYPERLINK("https://worldwide.espacenet.com/patent/search?q=US20040023635","Espacenet")</f>
        <v>0.0</v>
      </c>
      <c r="I302" s="2" t="n">
        <f>HYPERLINK("https://ppubs.uspto.gov/pubwebapp/external.html?q=20040023635.pn.","USPTO")</f>
        <v>0.0</v>
      </c>
      <c r="J302" s="2" t="n">
        <f>HYPERLINK("https://image-ppubs.uspto.gov/dirsearch-public/print/downloadPdf/20040023635","USPTO PDF")</f>
        <v>0.0</v>
      </c>
      <c r="K302" s="2" t="n">
        <f>HYPERLINK("https://sectors.patentforecast.com/pmd/US20040023635","PMD")</f>
        <v>0.0</v>
      </c>
      <c r="L302" s="2" t="n">
        <f>HYPERLINK("https://globaldossier.uspto.gov/result/application/US/10446495/1","US20040023635")</f>
        <v>0.0</v>
      </c>
      <c r="M302" t="s">
        <v>1899</v>
      </c>
      <c r="N302" t="s">
        <v>1900</v>
      </c>
      <c r="O302" t="s">
        <v>1901</v>
      </c>
      <c r="P302" t="s">
        <v>1902</v>
      </c>
      <c r="Q302" s="3" t="n">
        <v>37768.0</v>
      </c>
      <c r="R302" s="3" t="n">
        <v>38022.0</v>
      </c>
      <c r="S302" s="3" t="n">
        <v>43791.50672763889</v>
      </c>
      <c r="T302" s="3" t="n">
        <v>43791.526444490744</v>
      </c>
      <c r="U302" t="s">
        <v>1903</v>
      </c>
      <c r="V302" t="s">
        <v>1904</v>
      </c>
    </row>
    <row r="303">
      <c r="A303" t="s">
        <v>22</v>
      </c>
      <c r="B303" t="s">
        <v>1905</v>
      </c>
      <c r="C303" t="s">
        <v>24</v>
      </c>
      <c r="D303" t="s">
        <v>25</v>
      </c>
      <c r="E303" t="s">
        <v>1668</v>
      </c>
      <c r="F303" s="2" t="n">
        <f>HYPERLINK("https://patents.google.com/patent/US20020100777","Google")</f>
        <v>0.0</v>
      </c>
      <c r="G303" s="2" t="n">
        <f>HYPERLINK("https://patentcenter.uspto.gov/applications/09773113","Patent Center")</f>
        <v>0.0</v>
      </c>
      <c r="H303" s="2" t="n">
        <f>HYPERLINK("https://worldwide.espacenet.com/patent/search?q=US20020100777","Espacenet")</f>
        <v>0.0</v>
      </c>
      <c r="I303" s="2" t="n">
        <f>HYPERLINK("https://ppubs.uspto.gov/pubwebapp/external.html?q=20020100777.pn.","USPTO")</f>
        <v>0.0</v>
      </c>
      <c r="J303" s="2" t="n">
        <f>HYPERLINK("https://image-ppubs.uspto.gov/dirsearch-public/print/downloadPdf/20020100777","USPTO PDF")</f>
        <v>0.0</v>
      </c>
      <c r="K303" s="2" t="n">
        <f>HYPERLINK("https://sectors.patentforecast.com/pmd/US20020100777","PMD")</f>
        <v>0.0</v>
      </c>
      <c r="L303" s="2" t="n">
        <f>HYPERLINK("https://globaldossier.uspto.gov/result/application/US/09773113/1","US20020100777")</f>
        <v>0.0</v>
      </c>
      <c r="M303" t="s">
        <v>1906</v>
      </c>
      <c r="N303" t="s">
        <v>1572</v>
      </c>
      <c r="O303" t="s">
        <v>1573</v>
      </c>
      <c r="P303" t="s">
        <v>1884</v>
      </c>
      <c r="Q303" s="3" t="n">
        <v>36922.0</v>
      </c>
      <c r="R303" s="3" t="n">
        <v>37469.0</v>
      </c>
      <c r="S303" s="3" t="n">
        <v>43787.479875219906</v>
      </c>
      <c r="T303" s="3" t="n">
        <v>43791.46381488426</v>
      </c>
      <c r="U303" t="s">
        <v>1575</v>
      </c>
      <c r="V303" t="s">
        <v>1576</v>
      </c>
    </row>
    <row r="304">
      <c r="A304" t="s">
        <v>22</v>
      </c>
      <c r="B304" t="s">
        <v>1907</v>
      </c>
      <c r="C304" t="s">
        <v>24</v>
      </c>
      <c r="D304" t="s">
        <v>25</v>
      </c>
      <c r="E304" t="s">
        <v>1908</v>
      </c>
      <c r="F304" s="2" t="n">
        <f>HYPERLINK("https://patents.google.com/patent/US20020058538","Google")</f>
        <v>0.0</v>
      </c>
      <c r="G304" s="2" t="n">
        <f>HYPERLINK("https://patentcenter.uspto.gov/applications/10008172","Patent Center")</f>
        <v>0.0</v>
      </c>
      <c r="H304" s="2" t="n">
        <f>HYPERLINK("https://worldwide.espacenet.com/patent/search?q=US20020058538","Espacenet")</f>
        <v>0.0</v>
      </c>
      <c r="I304" s="2" t="n">
        <f>HYPERLINK("https://ppubs.uspto.gov/pubwebapp/external.html?q=20020058538.pn.","USPTO")</f>
        <v>0.0</v>
      </c>
      <c r="J304" s="2" t="n">
        <f>HYPERLINK("https://image-ppubs.uspto.gov/dirsearch-public/print/downloadPdf/20020058538","USPTO PDF")</f>
        <v>0.0</v>
      </c>
      <c r="K304" s="2" t="n">
        <f>HYPERLINK("https://sectors.patentforecast.com/pmd/US20020058538","PMD")</f>
        <v>0.0</v>
      </c>
      <c r="L304" s="2" t="n">
        <f>HYPERLINK("https://globaldossier.uspto.gov/result/application/US/10008172/1","US20020058538")</f>
        <v>0.0</v>
      </c>
      <c r="M304" t="s">
        <v>1909</v>
      </c>
      <c r="N304" t="s">
        <v>1910</v>
      </c>
      <c r="O304" t="s">
        <v>1911</v>
      </c>
      <c r="P304" t="s">
        <v>1912</v>
      </c>
      <c r="Q304" s="3" t="n">
        <v>37208.0</v>
      </c>
      <c r="R304" s="3" t="n">
        <v>37392.0</v>
      </c>
      <c r="S304" s="3" t="n">
        <v>43789.47327231481</v>
      </c>
      <c r="T304" s="3" t="n">
        <v>43789.47559123843</v>
      </c>
      <c r="U304" t="s">
        <v>1913</v>
      </c>
      <c r="V304" t="s">
        <v>1914</v>
      </c>
    </row>
    <row r="305">
      <c r="A305" t="s">
        <v>22</v>
      </c>
      <c r="B305" t="s">
        <v>1915</v>
      </c>
      <c r="C305" t="s">
        <v>24</v>
      </c>
      <c r="D305" t="s">
        <v>25</v>
      </c>
      <c r="E305" t="s">
        <v>1916</v>
      </c>
      <c r="F305" s="2" t="n">
        <f>HYPERLINK("https://patents.google.com/patent/US20020032017","Google")</f>
        <v>0.0</v>
      </c>
      <c r="G305" s="2" t="n">
        <f>HYPERLINK("https://patentcenter.uspto.gov/applications/09971189","Patent Center")</f>
        <v>0.0</v>
      </c>
      <c r="H305" s="2" t="n">
        <f>HYPERLINK("https://worldwide.espacenet.com/patent/search?q=US20020032017","Espacenet")</f>
        <v>0.0</v>
      </c>
      <c r="I305" s="2" t="n">
        <f>HYPERLINK("https://ppubs.uspto.gov/pubwebapp/external.html?q=20020032017.pn.","USPTO")</f>
        <v>0.0</v>
      </c>
      <c r="J305" s="2" t="n">
        <f>HYPERLINK("https://image-ppubs.uspto.gov/dirsearch-public/print/downloadPdf/20020032017","USPTO PDF")</f>
        <v>0.0</v>
      </c>
      <c r="K305" s="2" t="n">
        <f>HYPERLINK("https://sectors.patentforecast.com/pmd/US20020032017","PMD")</f>
        <v>0.0</v>
      </c>
      <c r="L305" s="2" t="n">
        <f>HYPERLINK("https://globaldossier.uspto.gov/result/application/US/09971189/1","US20020032017")</f>
        <v>0.0</v>
      </c>
      <c r="M305" t="s">
        <v>1917</v>
      </c>
      <c r="N305" t="s">
        <v>227</v>
      </c>
      <c r="O305" t="s">
        <v>228</v>
      </c>
      <c r="P305" t="s">
        <v>1918</v>
      </c>
      <c r="Q305" s="3" t="n">
        <v>37169.0</v>
      </c>
      <c r="R305" s="3" t="n">
        <v>37329.0</v>
      </c>
      <c r="S305" s="3" t="n">
        <v>43788.66413618055</v>
      </c>
      <c r="T305" s="3" t="n">
        <v>43788.669692951386</v>
      </c>
      <c r="U305" t="s">
        <v>1919</v>
      </c>
      <c r="V305" t="s">
        <v>1920</v>
      </c>
    </row>
    <row r="306">
      <c r="A306" t="s">
        <v>22</v>
      </c>
      <c r="B306" t="s">
        <v>1921</v>
      </c>
      <c r="C306" t="s">
        <v>24</v>
      </c>
      <c r="D306" t="s">
        <v>25</v>
      </c>
      <c r="E306" t="s">
        <v>1916</v>
      </c>
      <c r="F306" s="2" t="n">
        <f>HYPERLINK("https://patents.google.com/patent/US20020022470","Google")</f>
        <v>0.0</v>
      </c>
      <c r="G306" s="2" t="n">
        <f>HYPERLINK("https://patentcenter.uspto.gov/applications/09971190","Patent Center")</f>
        <v>0.0</v>
      </c>
      <c r="H306" s="2" t="n">
        <f>HYPERLINK("https://worldwide.espacenet.com/patent/search?q=US20020022470","Espacenet")</f>
        <v>0.0</v>
      </c>
      <c r="I306" s="2" t="n">
        <f>HYPERLINK("https://ppubs.uspto.gov/pubwebapp/external.html?q=20020022470.pn.","USPTO")</f>
        <v>0.0</v>
      </c>
      <c r="J306" s="2" t="n">
        <f>HYPERLINK("https://image-ppubs.uspto.gov/dirsearch-public/print/downloadPdf/20020022470","USPTO PDF")</f>
        <v>0.0</v>
      </c>
      <c r="K306" s="2" t="n">
        <f>HYPERLINK("https://sectors.patentforecast.com/pmd/US20020022470","PMD")</f>
        <v>0.0</v>
      </c>
      <c r="L306" s="2" t="n">
        <f>HYPERLINK("https://globaldossier.uspto.gov/result/application/US/09971190/1","US20020022470")</f>
        <v>0.0</v>
      </c>
      <c r="M306" t="s">
        <v>1922</v>
      </c>
      <c r="N306" t="s">
        <v>227</v>
      </c>
      <c r="O306" t="s">
        <v>228</v>
      </c>
      <c r="P306" t="s">
        <v>1918</v>
      </c>
      <c r="Q306" s="3" t="n">
        <v>37169.0</v>
      </c>
      <c r="R306" s="3" t="n">
        <v>37308.0</v>
      </c>
      <c r="S306" s="3" t="n">
        <v>43788.66413618055</v>
      </c>
      <c r="T306" s="3" t="n">
        <v>43788.67006258102</v>
      </c>
      <c r="U306" t="s">
        <v>1919</v>
      </c>
      <c r="V306" t="s">
        <v>1920</v>
      </c>
    </row>
    <row r="307">
      <c r="A307" t="s">
        <v>22</v>
      </c>
      <c r="B307" t="s">
        <v>1923</v>
      </c>
      <c r="C307" t="s">
        <v>24</v>
      </c>
      <c r="D307" t="s">
        <v>25</v>
      </c>
      <c r="E307" t="s">
        <v>1916</v>
      </c>
      <c r="F307" s="2" t="n">
        <f>HYPERLINK("https://patents.google.com/patent/US20020022469","Google")</f>
        <v>0.0</v>
      </c>
      <c r="G307" s="2" t="n">
        <f>HYPERLINK("https://patentcenter.uspto.gov/applications/09970996","Patent Center")</f>
        <v>0.0</v>
      </c>
      <c r="H307" s="2" t="n">
        <f>HYPERLINK("https://worldwide.espacenet.com/patent/search?q=US20020022469","Espacenet")</f>
        <v>0.0</v>
      </c>
      <c r="I307" s="2" t="n">
        <f>HYPERLINK("https://ppubs.uspto.gov/pubwebapp/external.html?q=20020022469.pn.","USPTO")</f>
        <v>0.0</v>
      </c>
      <c r="J307" s="2" t="n">
        <f>HYPERLINK("https://image-ppubs.uspto.gov/dirsearch-public/print/downloadPdf/20020022469","USPTO PDF")</f>
        <v>0.0</v>
      </c>
      <c r="K307" s="2" t="n">
        <f>HYPERLINK("https://sectors.patentforecast.com/pmd/US20020022469","PMD")</f>
        <v>0.0</v>
      </c>
      <c r="L307" s="2" t="n">
        <f>HYPERLINK("https://globaldossier.uspto.gov/result/application/US/09970996/1","US20020022469")</f>
        <v>0.0</v>
      </c>
      <c r="M307" t="s">
        <v>1924</v>
      </c>
      <c r="N307" t="s">
        <v>227</v>
      </c>
      <c r="O307" t="s">
        <v>228</v>
      </c>
      <c r="P307" t="s">
        <v>1918</v>
      </c>
      <c r="Q307" s="3" t="n">
        <v>37169.0</v>
      </c>
      <c r="R307" s="3" t="n">
        <v>37308.0</v>
      </c>
      <c r="S307" s="3" t="n">
        <v>43788.66413618055</v>
      </c>
      <c r="T307" s="3" t="n">
        <v>43788.67019626158</v>
      </c>
      <c r="U307" t="s">
        <v>1919</v>
      </c>
      <c r="V307" t="s">
        <v>1920</v>
      </c>
    </row>
    <row r="308">
      <c r="A308" t="s">
        <v>22</v>
      </c>
      <c r="B308" t="s">
        <v>1925</v>
      </c>
      <c r="C308" t="s">
        <v>24</v>
      </c>
      <c r="D308" t="s">
        <v>25</v>
      </c>
      <c r="E308" t="s">
        <v>1916</v>
      </c>
      <c r="F308" s="2" t="n">
        <f>HYPERLINK("https://patents.google.com/patent/US20020019226","Google")</f>
        <v>0.0</v>
      </c>
      <c r="G308" s="2" t="n">
        <f>HYPERLINK("https://patentcenter.uspto.gov/applications/09970904","Patent Center")</f>
        <v>0.0</v>
      </c>
      <c r="H308" s="2" t="n">
        <f>HYPERLINK("https://worldwide.espacenet.com/patent/search?q=US20020019226","Espacenet")</f>
        <v>0.0</v>
      </c>
      <c r="I308" s="2" t="n">
        <f>HYPERLINK("https://ppubs.uspto.gov/pubwebapp/external.html?q=20020019226.pn.","USPTO")</f>
        <v>0.0</v>
      </c>
      <c r="J308" s="2" t="n">
        <f>HYPERLINK("https://image-ppubs.uspto.gov/dirsearch-public/print/downloadPdf/20020019226","USPTO PDF")</f>
        <v>0.0</v>
      </c>
      <c r="K308" s="2" t="n">
        <f>HYPERLINK("https://sectors.patentforecast.com/pmd/US20020019226","PMD")</f>
        <v>0.0</v>
      </c>
      <c r="L308" s="2" t="n">
        <f>HYPERLINK("https://globaldossier.uspto.gov/result/application/US/09970904/1","US20020019226")</f>
        <v>0.0</v>
      </c>
      <c r="M308" t="s">
        <v>1926</v>
      </c>
      <c r="N308" t="s">
        <v>227</v>
      </c>
      <c r="O308" t="s">
        <v>228</v>
      </c>
      <c r="P308" t="s">
        <v>1918</v>
      </c>
      <c r="Q308" s="3" t="n">
        <v>37169.0</v>
      </c>
      <c r="R308" s="3" t="n">
        <v>37301.0</v>
      </c>
      <c r="S308" s="3" t="n">
        <v>43788.66413618055</v>
      </c>
      <c r="T308" s="3" t="n">
        <v>43788.6702450463</v>
      </c>
      <c r="U308" t="s">
        <v>1919</v>
      </c>
      <c r="V308" t="s">
        <v>1920</v>
      </c>
    </row>
    <row r="309">
      <c r="A309" t="s">
        <v>22</v>
      </c>
      <c r="B309" t="s">
        <v>1927</v>
      </c>
      <c r="C309" t="s">
        <v>24</v>
      </c>
      <c r="D309" t="s">
        <v>25</v>
      </c>
      <c r="E309" t="s">
        <v>1916</v>
      </c>
      <c r="F309" s="2" t="n">
        <f>HYPERLINK("https://patents.google.com/patent/US20020019222","Google")</f>
        <v>0.0</v>
      </c>
      <c r="G309" s="2" t="n">
        <f>HYPERLINK("https://patentcenter.uspto.gov/applications/09970905","Patent Center")</f>
        <v>0.0</v>
      </c>
      <c r="H309" s="2" t="n">
        <f>HYPERLINK("https://worldwide.espacenet.com/patent/search?q=US20020019222","Espacenet")</f>
        <v>0.0</v>
      </c>
      <c r="I309" s="2" t="n">
        <f>HYPERLINK("https://ppubs.uspto.gov/pubwebapp/external.html?q=20020019222.pn.","USPTO")</f>
        <v>0.0</v>
      </c>
      <c r="J309" s="2" t="n">
        <f>HYPERLINK("https://image-ppubs.uspto.gov/dirsearch-public/print/downloadPdf/20020019222","USPTO PDF")</f>
        <v>0.0</v>
      </c>
      <c r="K309" s="2" t="n">
        <f>HYPERLINK("https://sectors.patentforecast.com/pmd/US20020019222","PMD")</f>
        <v>0.0</v>
      </c>
      <c r="L309" s="2" t="n">
        <f>HYPERLINK("https://globaldossier.uspto.gov/result/application/US/09970905/1","US20020019222")</f>
        <v>0.0</v>
      </c>
      <c r="M309" t="s">
        <v>1928</v>
      </c>
      <c r="N309" t="s">
        <v>227</v>
      </c>
      <c r="O309" t="s">
        <v>228</v>
      </c>
      <c r="P309" t="s">
        <v>1918</v>
      </c>
      <c r="Q309" s="3" t="n">
        <v>37169.0</v>
      </c>
      <c r="R309" s="3" t="n">
        <v>37301.0</v>
      </c>
      <c r="S309" s="3" t="n">
        <v>43788.66413618055</v>
      </c>
      <c r="T309" s="3" t="n">
        <v>43788.6702450463</v>
      </c>
      <c r="U309" t="s">
        <v>1919</v>
      </c>
      <c r="V309" t="s">
        <v>1920</v>
      </c>
    </row>
    <row r="310">
      <c r="A310" t="s">
        <v>1929</v>
      </c>
      <c r="B310" t="s">
        <v>1930</v>
      </c>
      <c r="C310" t="s">
        <v>24</v>
      </c>
      <c r="D310" t="s">
        <v>25</v>
      </c>
      <c r="E310" t="s">
        <v>1931</v>
      </c>
      <c r="F310" s="2" t="n">
        <f>HYPERLINK("https://patents.google.com/patent/US9998900","Google")</f>
        <v>0.0</v>
      </c>
      <c r="G310" s="2" t="n">
        <f>HYPERLINK("https://patentcenter.uspto.gov/applications/15577686","Patent Center")</f>
        <v>0.0</v>
      </c>
      <c r="H310" s="2" t="n">
        <f>HYPERLINK("https://worldwide.espacenet.com/patent/search?q=US9998900","Espacenet")</f>
        <v>0.0</v>
      </c>
      <c r="I310" s="2" t="n">
        <f>HYPERLINK("https://ppubs.uspto.gov/pubwebapp/external.html?q=9998900.pn.","USPTO")</f>
        <v>0.0</v>
      </c>
      <c r="J310" s="2" t="n">
        <f>HYPERLINK("https://image-ppubs.uspto.gov/dirsearch-public/print/downloadPdf/9998900","USPTO PDF")</f>
        <v>0.0</v>
      </c>
      <c r="K310" s="2" t="n">
        <f>HYPERLINK("https://sectors.patentforecast.com/pmd/US9998900","PMD")</f>
        <v>0.0</v>
      </c>
      <c r="L310" s="2" t="n">
        <f>HYPERLINK("https://globaldossier.uspto.gov/result/patent/US/9998900/1","US9998900")</f>
        <v>0.0</v>
      </c>
      <c r="M310" t="s">
        <v>1044</v>
      </c>
      <c r="N310" t="s">
        <v>1045</v>
      </c>
      <c r="O310" t="s">
        <v>1046</v>
      </c>
      <c r="P310" t="s">
        <v>1932</v>
      </c>
      <c r="Q310" s="3" t="n">
        <v>42565.0</v>
      </c>
      <c r="R310" s="3" t="n">
        <v>43263.0</v>
      </c>
      <c r="S310" s="3" t="n">
        <v>43791.48288506945</v>
      </c>
      <c r="T310" s="3" t="n">
        <v>43791.56439813657</v>
      </c>
      <c r="U310" t="s">
        <v>1933</v>
      </c>
      <c r="V310" t="s">
        <v>1049</v>
      </c>
    </row>
    <row r="311">
      <c r="A311" t="s">
        <v>1929</v>
      </c>
      <c r="B311" t="s">
        <v>1934</v>
      </c>
      <c r="C311" t="s">
        <v>168</v>
      </c>
      <c r="D311" t="s">
        <v>168</v>
      </c>
      <c r="E311" t="s">
        <v>1935</v>
      </c>
      <c r="F311" s="2" t="n">
        <f>HYPERLINK("https://patents.google.com/patent/US9993057","Google")</f>
        <v>0.0</v>
      </c>
      <c r="G311" s="2" t="n">
        <f>HYPERLINK("https://patentcenter.uspto.gov/applications/15618183","Patent Center")</f>
        <v>0.0</v>
      </c>
      <c r="H311" s="2" t="n">
        <f>HYPERLINK("https://worldwide.espacenet.com/patent/search?q=US9993057","Espacenet")</f>
        <v>0.0</v>
      </c>
      <c r="I311" s="2" t="n">
        <f>HYPERLINK("https://ppubs.uspto.gov/pubwebapp/external.html?q=9993057.pn.","USPTO")</f>
        <v>0.0</v>
      </c>
      <c r="J311" s="2" t="n">
        <f>HYPERLINK("https://image-ppubs.uspto.gov/dirsearch-public/print/downloadPdf/9993057","USPTO PDF")</f>
        <v>0.0</v>
      </c>
      <c r="K311" s="2" t="n">
        <f>HYPERLINK("https://sectors.patentforecast.com/pmd/US9993057","PMD")</f>
        <v>0.0</v>
      </c>
      <c r="L311" s="2" t="n">
        <f>HYPERLINK("https://globaldossier.uspto.gov/result/patent/US/9993057/1","US9993057")</f>
        <v>0.0</v>
      </c>
      <c r="M311" t="s">
        <v>1175</v>
      </c>
      <c r="N311" t="s">
        <v>1176</v>
      </c>
      <c r="O311" t="s">
        <v>1177</v>
      </c>
      <c r="P311" t="s">
        <v>1936</v>
      </c>
      <c r="Q311" s="3" t="n">
        <v>42895.0</v>
      </c>
      <c r="R311" s="3" t="n">
        <v>43263.0</v>
      </c>
      <c r="S311" s="3" t="n">
        <v>43787.46945895833</v>
      </c>
      <c r="T311" s="3" t="n">
        <v>43789.65829957176</v>
      </c>
      <c r="U311" t="s">
        <v>1937</v>
      </c>
      <c r="V311" t="s">
        <v>1938</v>
      </c>
    </row>
    <row r="312">
      <c r="A312" t="s">
        <v>1929</v>
      </c>
      <c r="B312" t="s">
        <v>1939</v>
      </c>
      <c r="C312" t="s">
        <v>24</v>
      </c>
      <c r="D312" t="s">
        <v>25</v>
      </c>
      <c r="E312" t="s">
        <v>1940</v>
      </c>
      <c r="F312" s="2" t="n">
        <f>HYPERLINK("https://patents.google.com/patent/US9980171","Google")</f>
        <v>0.0</v>
      </c>
      <c r="G312" s="2" t="n">
        <f>HYPERLINK("https://patentcenter.uspto.gov/applications/15091090","Patent Center")</f>
        <v>0.0</v>
      </c>
      <c r="H312" s="2" t="n">
        <f>HYPERLINK("https://worldwide.espacenet.com/patent/search?q=US9980171","Espacenet")</f>
        <v>0.0</v>
      </c>
      <c r="I312" s="2" t="n">
        <f>HYPERLINK("https://ppubs.uspto.gov/pubwebapp/external.html?q=9980171.pn.","USPTO")</f>
        <v>0.0</v>
      </c>
      <c r="J312" s="2" t="n">
        <f>HYPERLINK("https://image-ppubs.uspto.gov/dirsearch-public/print/downloadPdf/9980171","USPTO PDF")</f>
        <v>0.0</v>
      </c>
      <c r="K312" s="2" t="n">
        <f>HYPERLINK("https://sectors.patentforecast.com/pmd/US9980171","PMD")</f>
        <v>0.0</v>
      </c>
      <c r="L312" s="2" t="n">
        <f>HYPERLINK("https://globaldossier.uspto.gov/result/patent/US/9980171/1","US9980171")</f>
        <v>0.0</v>
      </c>
      <c r="M312" t="s">
        <v>1269</v>
      </c>
      <c r="N312" t="s">
        <v>1019</v>
      </c>
      <c r="O312" t="s">
        <v>1020</v>
      </c>
      <c r="P312" t="s">
        <v>1941</v>
      </c>
      <c r="Q312" s="3" t="n">
        <v>42465.0</v>
      </c>
      <c r="R312" s="3" t="n">
        <v>43242.0</v>
      </c>
      <c r="S312" s="3" t="n">
        <v>43787.70580065972</v>
      </c>
      <c r="T312" s="3" t="n">
        <v>43789.42875615741</v>
      </c>
      <c r="U312" t="s">
        <v>1942</v>
      </c>
      <c r="V312" t="s">
        <v>1023</v>
      </c>
    </row>
    <row r="313">
      <c r="A313" t="s">
        <v>1929</v>
      </c>
      <c r="B313" t="s">
        <v>1943</v>
      </c>
      <c r="C313" t="s">
        <v>168</v>
      </c>
      <c r="D313" t="s">
        <v>168</v>
      </c>
      <c r="E313" t="s">
        <v>1944</v>
      </c>
      <c r="F313" s="2" t="n">
        <f>HYPERLINK("https://patents.google.com/patent/US9966765","Google")</f>
        <v>0.0</v>
      </c>
      <c r="G313" s="2" t="n">
        <f>HYPERLINK("https://patentcenter.uspto.gov/applications/14585506","Patent Center")</f>
        <v>0.0</v>
      </c>
      <c r="H313" s="2" t="n">
        <f>HYPERLINK("https://worldwide.espacenet.com/patent/search?q=US9966765","Espacenet")</f>
        <v>0.0</v>
      </c>
      <c r="I313" s="2" t="n">
        <f>HYPERLINK("https://ppubs.uspto.gov/pubwebapp/external.html?q=9966765.pn.","USPTO")</f>
        <v>0.0</v>
      </c>
      <c r="J313" s="2" t="n">
        <f>HYPERLINK("https://image-ppubs.uspto.gov/dirsearch-public/print/downloadPdf/9966765","USPTO PDF")</f>
        <v>0.0</v>
      </c>
      <c r="K313" s="2" t="n">
        <f>HYPERLINK("https://sectors.patentforecast.com/pmd/US9966765","PMD")</f>
        <v>0.0</v>
      </c>
      <c r="L313" s="2" t="n">
        <f>HYPERLINK("https://globaldossier.uspto.gov/result/patent/US/9966765/1","US9966765")</f>
        <v>0.0</v>
      </c>
      <c r="M313" t="s">
        <v>1945</v>
      </c>
      <c r="N313" t="s">
        <v>1032</v>
      </c>
      <c r="O313" t="s">
        <v>1033</v>
      </c>
      <c r="P313" t="s">
        <v>1946</v>
      </c>
      <c r="Q313" s="3" t="n">
        <v>42003.0</v>
      </c>
      <c r="R313" s="3" t="n">
        <v>43228.0</v>
      </c>
      <c r="S313" s="3" t="n">
        <v>43791.46448699074</v>
      </c>
      <c r="T313" s="3" t="n">
        <v>43791.478157627316</v>
      </c>
      <c r="U313" t="s">
        <v>1947</v>
      </c>
      <c r="V313" t="s">
        <v>1948</v>
      </c>
    </row>
    <row r="314">
      <c r="A314" t="s">
        <v>1929</v>
      </c>
      <c r="B314" t="s">
        <v>1949</v>
      </c>
      <c r="C314" t="s">
        <v>168</v>
      </c>
      <c r="D314" t="s">
        <v>168</v>
      </c>
      <c r="E314" t="s">
        <v>1950</v>
      </c>
      <c r="F314" s="2" t="n">
        <f>HYPERLINK("https://patents.google.com/patent/US9955763","Google")</f>
        <v>0.0</v>
      </c>
      <c r="G314" s="2" t="n">
        <f>HYPERLINK("https://patentcenter.uspto.gov/applications/15429404","Patent Center")</f>
        <v>0.0</v>
      </c>
      <c r="H314" s="2" t="n">
        <f>HYPERLINK("https://worldwide.espacenet.com/patent/search?q=US9955763","Espacenet")</f>
        <v>0.0</v>
      </c>
      <c r="I314" s="2" t="n">
        <f>HYPERLINK("https://ppubs.uspto.gov/pubwebapp/external.html?q=9955763.pn.","USPTO")</f>
        <v>0.0</v>
      </c>
      <c r="J314" s="2" t="n">
        <f>HYPERLINK("https://image-ppubs.uspto.gov/dirsearch-public/print/downloadPdf/9955763","USPTO PDF")</f>
        <v>0.0</v>
      </c>
      <c r="K314" s="2" t="n">
        <f>HYPERLINK("https://sectors.patentforecast.com/pmd/US9955763","PMD")</f>
        <v>0.0</v>
      </c>
      <c r="L314" s="2" t="n">
        <f>HYPERLINK("https://globaldossier.uspto.gov/result/patent/US/9955763/1","US9955763")</f>
        <v>0.0</v>
      </c>
      <c r="M314" t="s">
        <v>1951</v>
      </c>
      <c r="N314" t="s">
        <v>803</v>
      </c>
      <c r="O314" t="s">
        <v>804</v>
      </c>
      <c r="P314" t="s">
        <v>1952</v>
      </c>
      <c r="Q314" s="3" t="n">
        <v>42776.0</v>
      </c>
      <c r="R314" s="3" t="n">
        <v>43221.0</v>
      </c>
      <c r="S314" s="3" t="n">
        <v>43787.46945895833</v>
      </c>
      <c r="T314" s="3" t="n">
        <v>43789.658529849534</v>
      </c>
      <c r="U314" t="s">
        <v>1953</v>
      </c>
      <c r="V314" t="s">
        <v>1954</v>
      </c>
    </row>
    <row r="315">
      <c r="A315" t="s">
        <v>1929</v>
      </c>
      <c r="B315" t="s">
        <v>1955</v>
      </c>
      <c r="C315" t="s">
        <v>168</v>
      </c>
      <c r="D315" t="s">
        <v>168</v>
      </c>
      <c r="E315" t="s">
        <v>1956</v>
      </c>
      <c r="F315" s="2" t="n">
        <f>HYPERLINK("https://patents.google.com/patent/US9948135","Google")</f>
        <v>0.0</v>
      </c>
      <c r="G315" s="2" t="n">
        <f>HYPERLINK("https://patentcenter.uspto.gov/applications/14861285","Patent Center")</f>
        <v>0.0</v>
      </c>
      <c r="H315" s="2" t="n">
        <f>HYPERLINK("https://worldwide.espacenet.com/patent/search?q=US9948135","Espacenet")</f>
        <v>0.0</v>
      </c>
      <c r="I315" s="2" t="n">
        <f>HYPERLINK("https://ppubs.uspto.gov/pubwebapp/external.html?q=9948135.pn.","USPTO")</f>
        <v>0.0</v>
      </c>
      <c r="J315" s="2" t="n">
        <f>HYPERLINK("https://image-ppubs.uspto.gov/dirsearch-public/print/downloadPdf/9948135","USPTO PDF")</f>
        <v>0.0</v>
      </c>
      <c r="K315" s="2" t="n">
        <f>HYPERLINK("https://sectors.patentforecast.com/pmd/US9948135","PMD")</f>
        <v>0.0</v>
      </c>
      <c r="L315" s="2" t="n">
        <f>HYPERLINK("https://globaldossier.uspto.gov/result/patent/US/9948135/1","US9948135")</f>
        <v>0.0</v>
      </c>
      <c r="M315" t="s">
        <v>1227</v>
      </c>
      <c r="N315" t="s">
        <v>1032</v>
      </c>
      <c r="O315" t="s">
        <v>1033</v>
      </c>
      <c r="P315" t="s">
        <v>1957</v>
      </c>
      <c r="Q315" s="3" t="n">
        <v>42269.0</v>
      </c>
      <c r="R315" s="3" t="n">
        <v>43207.0</v>
      </c>
      <c r="S315" s="3" t="n">
        <v>43788.41186880787</v>
      </c>
      <c r="T315" s="3" t="n">
        <v>43789.43804721065</v>
      </c>
      <c r="U315" t="s">
        <v>1958</v>
      </c>
      <c r="V315" t="s">
        <v>1036</v>
      </c>
    </row>
    <row r="316">
      <c r="A316" t="s">
        <v>1929</v>
      </c>
      <c r="B316" t="s">
        <v>1959</v>
      </c>
      <c r="C316" t="s">
        <v>52</v>
      </c>
      <c r="D316" t="s">
        <v>52</v>
      </c>
      <c r="E316" t="s">
        <v>1960</v>
      </c>
      <c r="F316" s="2" t="n">
        <f>HYPERLINK("https://patents.google.com/patent/US9929772","Google")</f>
        <v>0.0</v>
      </c>
      <c r="G316" s="2" t="n">
        <f>HYPERLINK("https://patentcenter.uspto.gov/applications/15423512","Patent Center")</f>
        <v>0.0</v>
      </c>
      <c r="H316" s="2" t="n">
        <f>HYPERLINK("https://worldwide.espacenet.com/patent/search?q=US9929772","Espacenet")</f>
        <v>0.0</v>
      </c>
      <c r="I316" s="2" t="n">
        <f>HYPERLINK("https://ppubs.uspto.gov/pubwebapp/external.html?q=9929772.pn.","USPTO")</f>
        <v>0.0</v>
      </c>
      <c r="J316" s="2" t="n">
        <f>HYPERLINK("https://image-ppubs.uspto.gov/dirsearch-public/print/downloadPdf/9929772","USPTO PDF")</f>
        <v>0.0</v>
      </c>
      <c r="K316" s="2" t="n">
        <f>HYPERLINK("https://sectors.patentforecast.com/pmd/US9929772","PMD")</f>
        <v>0.0</v>
      </c>
      <c r="L316" s="2" t="n">
        <f>HYPERLINK("https://globaldossier.uspto.gov/result/patent/US/9929772/1","US9929772")</f>
        <v>0.0</v>
      </c>
      <c r="M316" t="s">
        <v>1195</v>
      </c>
      <c r="N316" t="s">
        <v>366</v>
      </c>
      <c r="O316" t="s">
        <v>367</v>
      </c>
      <c r="P316" t="s">
        <v>1961</v>
      </c>
      <c r="Q316" s="3" t="n">
        <v>42768.0</v>
      </c>
      <c r="R316" s="3" t="n">
        <v>43186.0</v>
      </c>
      <c r="S316" s="3" t="n">
        <v>43789.56415215278</v>
      </c>
      <c r="T316" s="3" t="n">
        <v>43789.61280347222</v>
      </c>
      <c r="U316" t="s">
        <v>1962</v>
      </c>
      <c r="V316" t="s">
        <v>1000</v>
      </c>
    </row>
    <row r="317">
      <c r="A317" t="s">
        <v>1929</v>
      </c>
      <c r="B317" t="s">
        <v>1963</v>
      </c>
      <c r="C317" t="s">
        <v>24</v>
      </c>
      <c r="D317" t="s">
        <v>25</v>
      </c>
      <c r="E317" t="s">
        <v>1964</v>
      </c>
      <c r="F317" s="2" t="n">
        <f>HYPERLINK("https://patents.google.com/patent/US9905933","Google")</f>
        <v>0.0</v>
      </c>
      <c r="G317" s="2" t="n">
        <f>HYPERLINK("https://patentcenter.uspto.gov/applications/15622871","Patent Center")</f>
        <v>0.0</v>
      </c>
      <c r="H317" s="2" t="n">
        <f>HYPERLINK("https://worldwide.espacenet.com/patent/search?q=US9905933","Espacenet")</f>
        <v>0.0</v>
      </c>
      <c r="I317" s="2" t="n">
        <f>HYPERLINK("https://ppubs.uspto.gov/pubwebapp/external.html?q=9905933.pn.","USPTO")</f>
        <v>0.0</v>
      </c>
      <c r="J317" s="2" t="n">
        <f>HYPERLINK("https://image-ppubs.uspto.gov/dirsearch-public/print/downloadPdf/9905933","USPTO PDF")</f>
        <v>0.0</v>
      </c>
      <c r="K317" s="2" t="n">
        <f>HYPERLINK("https://sectors.patentforecast.com/pmd/US9905933","PMD")</f>
        <v>0.0</v>
      </c>
      <c r="L317" s="2" t="n">
        <f>HYPERLINK("https://globaldossier.uspto.gov/result/patent/US/9905933/1","US9905933")</f>
        <v>0.0</v>
      </c>
      <c r="M317" t="s">
        <v>1164</v>
      </c>
      <c r="N317" t="s">
        <v>227</v>
      </c>
      <c r="O317" t="s">
        <v>228</v>
      </c>
      <c r="P317" t="s">
        <v>1965</v>
      </c>
      <c r="Q317" s="3" t="n">
        <v>42900.0</v>
      </c>
      <c r="R317" s="3" t="n">
        <v>43158.0</v>
      </c>
      <c r="S317" s="3" t="n">
        <v>43789.56415215278</v>
      </c>
      <c r="T317" s="3" t="n">
        <v>43789.607672314814</v>
      </c>
      <c r="U317" t="s">
        <v>1966</v>
      </c>
      <c r="V317" t="s">
        <v>1165</v>
      </c>
    </row>
    <row r="318">
      <c r="A318" t="s">
        <v>1929</v>
      </c>
      <c r="B318" t="s">
        <v>1967</v>
      </c>
      <c r="C318" t="s">
        <v>24</v>
      </c>
      <c r="D318" t="s">
        <v>25</v>
      </c>
      <c r="E318" t="s">
        <v>1968</v>
      </c>
      <c r="F318" s="2" t="n">
        <f>HYPERLINK("https://patents.google.com/patent/US9866333","Google")</f>
        <v>0.0</v>
      </c>
      <c r="G318" s="2" t="n">
        <f>HYPERLINK("https://patentcenter.uspto.gov/applications/15304892","Patent Center")</f>
        <v>0.0</v>
      </c>
      <c r="H318" s="2" t="n">
        <f>HYPERLINK("https://worldwide.espacenet.com/patent/search?q=US9866333","Espacenet")</f>
        <v>0.0</v>
      </c>
      <c r="I318" s="2" t="n">
        <f>HYPERLINK("https://ppubs.uspto.gov/pubwebapp/external.html?q=9866333.pn.","USPTO")</f>
        <v>0.0</v>
      </c>
      <c r="J318" s="2" t="n">
        <f>HYPERLINK("https://image-ppubs.uspto.gov/dirsearch-public/print/downloadPdf/9866333","USPTO PDF")</f>
        <v>0.0</v>
      </c>
      <c r="K318" s="2" t="n">
        <f>HYPERLINK("https://sectors.patentforecast.com/pmd/US9866333","PMD")</f>
        <v>0.0</v>
      </c>
      <c r="L318" s="2" t="n">
        <f>HYPERLINK("https://globaldossier.uspto.gov/result/patent/US/9866333/1","US9866333")</f>
        <v>0.0</v>
      </c>
      <c r="M318" t="s">
        <v>1205</v>
      </c>
      <c r="N318" t="s">
        <v>1085</v>
      </c>
      <c r="O318" t="s">
        <v>1086</v>
      </c>
      <c r="P318" t="s">
        <v>1969</v>
      </c>
      <c r="Q318" s="3" t="n">
        <v>42118.0</v>
      </c>
      <c r="R318" s="3" t="n">
        <v>43109.0</v>
      </c>
      <c r="S318" s="3" t="n">
        <v>43787.41172491898</v>
      </c>
      <c r="T318" s="3" t="n">
        <v>43789.40521741898</v>
      </c>
      <c r="U318" t="s">
        <v>1970</v>
      </c>
      <c r="V318" t="s">
        <v>1207</v>
      </c>
    </row>
    <row r="319">
      <c r="A319" t="s">
        <v>1929</v>
      </c>
      <c r="B319" t="s">
        <v>1971</v>
      </c>
      <c r="C319" t="s">
        <v>24</v>
      </c>
      <c r="D319" t="s">
        <v>25</v>
      </c>
      <c r="E319" t="s">
        <v>1972</v>
      </c>
      <c r="F319" s="2" t="n">
        <f>HYPERLINK("https://patents.google.com/patent/US9801081","Google")</f>
        <v>0.0</v>
      </c>
      <c r="G319" s="2" t="n">
        <f>HYPERLINK("https://patentcenter.uspto.gov/applications/14923953","Patent Center")</f>
        <v>0.0</v>
      </c>
      <c r="H319" s="2" t="n">
        <f>HYPERLINK("https://worldwide.espacenet.com/patent/search?q=US9801081","Espacenet")</f>
        <v>0.0</v>
      </c>
      <c r="I319" s="2" t="n">
        <f>HYPERLINK("https://ppubs.uspto.gov/pubwebapp/external.html?q=9801081.pn.","USPTO")</f>
        <v>0.0</v>
      </c>
      <c r="J319" s="2" t="n">
        <f>HYPERLINK("https://image-ppubs.uspto.gov/dirsearch-public/print/downloadPdf/9801081","USPTO PDF")</f>
        <v>0.0</v>
      </c>
      <c r="K319" s="2" t="n">
        <f>HYPERLINK("https://sectors.patentforecast.com/pmd/US9801081","PMD")</f>
        <v>0.0</v>
      </c>
      <c r="L319" s="2" t="n">
        <f>HYPERLINK("https://globaldossier.uspto.gov/result/patent/US/9801081/1","US9801081")</f>
        <v>0.0</v>
      </c>
      <c r="M319" t="s">
        <v>1281</v>
      </c>
      <c r="N319" t="s">
        <v>1063</v>
      </c>
      <c r="O319" t="s">
        <v>1064</v>
      </c>
      <c r="P319" t="s">
        <v>1973</v>
      </c>
      <c r="Q319" s="3" t="n">
        <v>42304.0</v>
      </c>
      <c r="R319" s="3" t="n">
        <v>43032.0</v>
      </c>
      <c r="S319" s="3" t="n">
        <v>43787.42571368055</v>
      </c>
      <c r="T319" s="3" t="n">
        <v>43789.415579872686</v>
      </c>
      <c r="U319" t="s">
        <v>1974</v>
      </c>
      <c r="V319" t="s">
        <v>1284</v>
      </c>
    </row>
    <row r="320">
      <c r="A320" t="s">
        <v>1929</v>
      </c>
      <c r="B320" t="s">
        <v>1975</v>
      </c>
      <c r="C320" t="s">
        <v>168</v>
      </c>
      <c r="D320" t="s">
        <v>168</v>
      </c>
      <c r="E320" t="s">
        <v>1976</v>
      </c>
      <c r="F320" s="2" t="n">
        <f>HYPERLINK("https://patents.google.com/patent/US9793721","Google")</f>
        <v>0.0</v>
      </c>
      <c r="G320" s="2" t="n">
        <f>HYPERLINK("https://patentcenter.uspto.gov/applications/13708520","Patent Center")</f>
        <v>0.0</v>
      </c>
      <c r="H320" s="2" t="n">
        <f>HYPERLINK("https://worldwide.espacenet.com/patent/search?q=US9793721","Espacenet")</f>
        <v>0.0</v>
      </c>
      <c r="I320" s="2" t="n">
        <f>HYPERLINK("https://ppubs.uspto.gov/pubwebapp/external.html?q=9793721.pn.","USPTO")</f>
        <v>0.0</v>
      </c>
      <c r="J320" s="2" t="n">
        <f>HYPERLINK("https://image-ppubs.uspto.gov/dirsearch-public/print/downloadPdf/9793721","USPTO PDF")</f>
        <v>0.0</v>
      </c>
      <c r="K320" s="2" t="n">
        <f>HYPERLINK("https://sectors.patentforecast.com/pmd/US9793721","PMD")</f>
        <v>0.0</v>
      </c>
      <c r="L320" s="2" t="n">
        <f>HYPERLINK("https://globaldossier.uspto.gov/result/patent/US/9793721/1","US9793721")</f>
        <v>0.0</v>
      </c>
      <c r="M320" t="s">
        <v>1495</v>
      </c>
      <c r="N320" t="s">
        <v>345</v>
      </c>
      <c r="O320" t="s">
        <v>346</v>
      </c>
      <c r="P320" t="s">
        <v>1977</v>
      </c>
      <c r="Q320" s="3" t="n">
        <v>41250.0</v>
      </c>
      <c r="R320" s="3" t="n">
        <v>43025.0</v>
      </c>
      <c r="S320" s="3" t="n">
        <v>43789.473745208335</v>
      </c>
      <c r="T320" s="3" t="n">
        <v>43789.6905278125</v>
      </c>
      <c r="U320" t="s">
        <v>1978</v>
      </c>
      <c r="V320" t="s">
        <v>1106</v>
      </c>
    </row>
    <row r="321">
      <c r="A321" t="s">
        <v>1929</v>
      </c>
      <c r="B321" t="s">
        <v>1979</v>
      </c>
      <c r="C321" t="s">
        <v>24</v>
      </c>
      <c r="D321" t="s">
        <v>25</v>
      </c>
      <c r="E321" t="s">
        <v>1980</v>
      </c>
      <c r="F321" s="2" t="n">
        <f>HYPERLINK("https://patents.google.com/patent/US9769674","Google")</f>
        <v>0.0</v>
      </c>
      <c r="G321" s="2" t="n">
        <f>HYPERLINK("https://patentcenter.uspto.gov/applications/15263155","Patent Center")</f>
        <v>0.0</v>
      </c>
      <c r="H321" s="2" t="n">
        <f>HYPERLINK("https://worldwide.espacenet.com/patent/search?q=US9769674","Espacenet")</f>
        <v>0.0</v>
      </c>
      <c r="I321" s="2" t="n">
        <f>HYPERLINK("https://ppubs.uspto.gov/pubwebapp/external.html?q=9769674.pn.","USPTO")</f>
        <v>0.0</v>
      </c>
      <c r="J321" s="2" t="n">
        <f>HYPERLINK("https://image-ppubs.uspto.gov/dirsearch-public/print/downloadPdf/9769674","USPTO PDF")</f>
        <v>0.0</v>
      </c>
      <c r="K321" s="2" t="n">
        <f>HYPERLINK("https://sectors.patentforecast.com/pmd/US9769674","PMD")</f>
        <v>0.0</v>
      </c>
      <c r="L321" s="2" t="n">
        <f>HYPERLINK("https://globaldossier.uspto.gov/result/patent/US/9769674/1","US9769674")</f>
        <v>0.0</v>
      </c>
      <c r="M321" t="s">
        <v>1981</v>
      </c>
      <c r="N321" t="s">
        <v>1455</v>
      </c>
      <c r="O321" t="s">
        <v>1456</v>
      </c>
      <c r="P321" t="s">
        <v>1982</v>
      </c>
      <c r="Q321" s="3" t="n">
        <v>42625.0</v>
      </c>
      <c r="R321" s="3" t="n">
        <v>42997.0</v>
      </c>
      <c r="S321" s="3" t="n">
        <v>43790.72906385417</v>
      </c>
      <c r="T321" s="3" t="n">
        <v>43791.588369212965</v>
      </c>
      <c r="U321" t="s">
        <v>1983</v>
      </c>
      <c r="V321" t="s">
        <v>1464</v>
      </c>
    </row>
    <row r="322">
      <c r="A322" t="s">
        <v>1929</v>
      </c>
      <c r="B322" t="s">
        <v>1984</v>
      </c>
      <c r="C322" t="s">
        <v>168</v>
      </c>
      <c r="D322" t="s">
        <v>168</v>
      </c>
      <c r="E322" t="s">
        <v>1985</v>
      </c>
      <c r="F322" s="2" t="n">
        <f>HYPERLINK("https://patents.google.com/patent/US9763196","Google")</f>
        <v>0.0</v>
      </c>
      <c r="G322" s="2" t="n">
        <f>HYPERLINK("https://patentcenter.uspto.gov/applications/15108433","Patent Center")</f>
        <v>0.0</v>
      </c>
      <c r="H322" s="2" t="n">
        <f>HYPERLINK("https://worldwide.espacenet.com/patent/search?q=US9763196","Espacenet")</f>
        <v>0.0</v>
      </c>
      <c r="I322" s="2" t="n">
        <f>HYPERLINK("https://ppubs.uspto.gov/pubwebapp/external.html?q=9763196.pn.","USPTO")</f>
        <v>0.0</v>
      </c>
      <c r="J322" s="2" t="n">
        <f>HYPERLINK("https://image-ppubs.uspto.gov/dirsearch-public/print/downloadPdf/9763196","USPTO PDF")</f>
        <v>0.0</v>
      </c>
      <c r="K322" s="2" t="n">
        <f>HYPERLINK("https://sectors.patentforecast.com/pmd/US9763196","PMD")</f>
        <v>0.0</v>
      </c>
      <c r="L322" s="2" t="n">
        <f>HYPERLINK("https://globaldossier.uspto.gov/result/patent/US/9763196/1","US9763196")</f>
        <v>0.0</v>
      </c>
      <c r="M322" t="s">
        <v>1263</v>
      </c>
      <c r="N322" t="s">
        <v>28</v>
      </c>
      <c r="O322" t="s">
        <v>29</v>
      </c>
      <c r="P322" t="s">
        <v>1986</v>
      </c>
      <c r="Q322" s="3" t="n">
        <v>41774.0</v>
      </c>
      <c r="R322" s="3" t="n">
        <v>42990.0</v>
      </c>
      <c r="S322" s="3" t="n">
        <v>43791.41182129629</v>
      </c>
      <c r="T322" s="3" t="n">
        <v>43791.42119446759</v>
      </c>
      <c r="U322" t="s">
        <v>1987</v>
      </c>
      <c r="V322" t="s">
        <v>1266</v>
      </c>
    </row>
    <row r="323">
      <c r="A323" t="s">
        <v>1929</v>
      </c>
      <c r="B323" t="s">
        <v>1988</v>
      </c>
      <c r="C323" t="s">
        <v>168</v>
      </c>
      <c r="D323" t="s">
        <v>168</v>
      </c>
      <c r="E323" t="s">
        <v>1989</v>
      </c>
      <c r="F323" s="2" t="n">
        <f>HYPERLINK("https://patents.google.com/patent/US9752935","Google")</f>
        <v>0.0</v>
      </c>
      <c r="G323" s="2" t="n">
        <f>HYPERLINK("https://patentcenter.uspto.gov/applications/14835638","Patent Center")</f>
        <v>0.0</v>
      </c>
      <c r="H323" s="2" t="n">
        <f>HYPERLINK("https://worldwide.espacenet.com/patent/search?q=US9752935","Espacenet")</f>
        <v>0.0</v>
      </c>
      <c r="I323" s="2" t="n">
        <f>HYPERLINK("https://ppubs.uspto.gov/pubwebapp/external.html?q=9752935.pn.","USPTO")</f>
        <v>0.0</v>
      </c>
      <c r="J323" s="2" t="n">
        <f>HYPERLINK("https://image-ppubs.uspto.gov/dirsearch-public/print/downloadPdf/9752935","USPTO PDF")</f>
        <v>0.0</v>
      </c>
      <c r="K323" s="2" t="n">
        <f>HYPERLINK("https://sectors.patentforecast.com/pmd/US9752935","PMD")</f>
        <v>0.0</v>
      </c>
      <c r="L323" s="2" t="n">
        <f>HYPERLINK("https://globaldossier.uspto.gov/result/patent/US/9752935/1","US9752935")</f>
        <v>0.0</v>
      </c>
      <c r="M323" t="s">
        <v>1294</v>
      </c>
      <c r="N323" t="s">
        <v>1137</v>
      </c>
      <c r="O323" t="s">
        <v>1138</v>
      </c>
      <c r="P323" t="s">
        <v>1990</v>
      </c>
      <c r="Q323" s="3" t="n">
        <v>42241.0</v>
      </c>
      <c r="R323" s="3" t="n">
        <v>42983.0</v>
      </c>
      <c r="S323" s="3" t="n">
        <v>43789.473745208335</v>
      </c>
      <c r="T323" s="3" t="n">
        <v>43789.489668333335</v>
      </c>
      <c r="U323" t="s">
        <v>1991</v>
      </c>
      <c r="V323" t="s">
        <v>1141</v>
      </c>
    </row>
    <row r="324">
      <c r="A324" t="s">
        <v>1929</v>
      </c>
      <c r="B324" t="s">
        <v>1992</v>
      </c>
      <c r="C324" t="s">
        <v>24</v>
      </c>
      <c r="D324" t="s">
        <v>25</v>
      </c>
      <c r="E324" t="s">
        <v>1993</v>
      </c>
      <c r="F324" s="2" t="n">
        <f>HYPERLINK("https://patents.google.com/patent/US9742729","Google")</f>
        <v>0.0</v>
      </c>
      <c r="G324" s="2" t="n">
        <f>HYPERLINK("https://patentcenter.uspto.gov/applications/14970282","Patent Center")</f>
        <v>0.0</v>
      </c>
      <c r="H324" s="2" t="n">
        <f>HYPERLINK("https://worldwide.espacenet.com/patent/search?q=US9742729","Espacenet")</f>
        <v>0.0</v>
      </c>
      <c r="I324" s="2" t="n">
        <f>HYPERLINK("https://ppubs.uspto.gov/pubwebapp/external.html?q=9742729.pn.","USPTO")</f>
        <v>0.0</v>
      </c>
      <c r="J324" s="2" t="n">
        <f>HYPERLINK("https://image-ppubs.uspto.gov/dirsearch-public/print/downloadPdf/9742729","USPTO PDF")</f>
        <v>0.0</v>
      </c>
      <c r="K324" s="2" t="n">
        <f>HYPERLINK("https://sectors.patentforecast.com/pmd/US9742729","PMD")</f>
        <v>0.0</v>
      </c>
      <c r="L324" s="2" t="n">
        <f>HYPERLINK("https://globaldossier.uspto.gov/result/patent/US/9742729/1","US9742729")</f>
        <v>0.0</v>
      </c>
      <c r="M324" t="s">
        <v>1994</v>
      </c>
      <c r="N324" t="s">
        <v>1455</v>
      </c>
      <c r="O324" t="s">
        <v>1456</v>
      </c>
      <c r="P324" t="s">
        <v>1995</v>
      </c>
      <c r="Q324" s="3" t="n">
        <v>42353.0</v>
      </c>
      <c r="R324" s="3" t="n">
        <v>42969.0</v>
      </c>
      <c r="S324" s="3" t="n">
        <v>43790.72998633102</v>
      </c>
      <c r="T324" s="3" t="n">
        <v>43791.588369212965</v>
      </c>
      <c r="U324" t="s">
        <v>1996</v>
      </c>
      <c r="V324" t="s">
        <v>1997</v>
      </c>
    </row>
    <row r="325">
      <c r="A325" t="s">
        <v>1929</v>
      </c>
      <c r="B325" t="s">
        <v>1998</v>
      </c>
      <c r="C325" t="s">
        <v>168</v>
      </c>
      <c r="D325" t="s">
        <v>168</v>
      </c>
      <c r="E325" t="s">
        <v>1999</v>
      </c>
      <c r="F325" s="2" t="n">
        <f>HYPERLINK("https://patents.google.com/patent/US9716401","Google")</f>
        <v>0.0</v>
      </c>
      <c r="G325" s="2" t="n">
        <f>HYPERLINK("https://patentcenter.uspto.gov/applications/14589786","Patent Center")</f>
        <v>0.0</v>
      </c>
      <c r="H325" s="2" t="n">
        <f>HYPERLINK("https://worldwide.espacenet.com/patent/search?q=US9716401","Espacenet")</f>
        <v>0.0</v>
      </c>
      <c r="I325" s="2" t="n">
        <f>HYPERLINK("https://ppubs.uspto.gov/pubwebapp/external.html?q=9716401.pn.","USPTO")</f>
        <v>0.0</v>
      </c>
      <c r="J325" s="2" t="n">
        <f>HYPERLINK("https://image-ppubs.uspto.gov/dirsearch-public/print/downloadPdf/9716401","USPTO PDF")</f>
        <v>0.0</v>
      </c>
      <c r="K325" s="2" t="n">
        <f>HYPERLINK("https://sectors.patentforecast.com/pmd/US9716401","PMD")</f>
        <v>0.0</v>
      </c>
      <c r="L325" s="2" t="n">
        <f>HYPERLINK("https://globaldossier.uspto.gov/result/patent/US/9716401/1","US9716401")</f>
        <v>0.0</v>
      </c>
      <c r="M325" t="s">
        <v>1330</v>
      </c>
      <c r="N325" t="s">
        <v>1331</v>
      </c>
      <c r="O325" t="s">
        <v>1332</v>
      </c>
      <c r="P325" t="s">
        <v>2000</v>
      </c>
      <c r="Q325" s="3" t="n">
        <v>42009.0</v>
      </c>
      <c r="R325" s="3" t="n">
        <v>42941.0</v>
      </c>
      <c r="S325" s="3" t="n">
        <v>43789.473745208335</v>
      </c>
      <c r="T325" s="3" t="n">
        <v>43790.37310416667</v>
      </c>
      <c r="U325" t="s">
        <v>2001</v>
      </c>
      <c r="V325" t="s">
        <v>1335</v>
      </c>
    </row>
    <row r="326">
      <c r="A326" t="s">
        <v>1929</v>
      </c>
      <c r="B326" t="s">
        <v>2002</v>
      </c>
      <c r="C326" t="s">
        <v>24</v>
      </c>
      <c r="D326" t="s">
        <v>25</v>
      </c>
      <c r="E326" t="s">
        <v>1964</v>
      </c>
      <c r="F326" s="2" t="n">
        <f>HYPERLINK("https://patents.google.com/patent/US9711868","Google")</f>
        <v>0.0</v>
      </c>
      <c r="G326" s="2" t="n">
        <f>HYPERLINK("https://patentcenter.uspto.gov/applications/12697289","Patent Center")</f>
        <v>0.0</v>
      </c>
      <c r="H326" s="2" t="n">
        <f>HYPERLINK("https://worldwide.espacenet.com/patent/search?q=US9711868","Espacenet")</f>
        <v>0.0</v>
      </c>
      <c r="I326" s="2" t="n">
        <f>HYPERLINK("https://ppubs.uspto.gov/pubwebapp/external.html?q=9711868.pn.","USPTO")</f>
        <v>0.0</v>
      </c>
      <c r="J326" s="2" t="n">
        <f>HYPERLINK("https://image-ppubs.uspto.gov/dirsearch-public/print/downloadPdf/9711868","USPTO PDF")</f>
        <v>0.0</v>
      </c>
      <c r="K326" s="2" t="n">
        <f>HYPERLINK("https://sectors.patentforecast.com/pmd/US9711868","PMD")</f>
        <v>0.0</v>
      </c>
      <c r="L326" s="2" t="n">
        <f>HYPERLINK("https://globaldossier.uspto.gov/result/patent/US/9711868/1","US9711868")</f>
        <v>0.0</v>
      </c>
      <c r="M326" t="s">
        <v>1671</v>
      </c>
      <c r="N326" t="s">
        <v>227</v>
      </c>
      <c r="O326" t="s">
        <v>228</v>
      </c>
      <c r="P326" t="s">
        <v>2003</v>
      </c>
      <c r="Q326" s="3" t="n">
        <v>40209.0</v>
      </c>
      <c r="R326" s="3" t="n">
        <v>42934.0</v>
      </c>
      <c r="S326" s="3" t="n">
        <v>43789.56415215278</v>
      </c>
      <c r="T326" s="3" t="n">
        <v>43789.607672314814</v>
      </c>
      <c r="U326" t="s">
        <v>1966</v>
      </c>
      <c r="V326" t="s">
        <v>1165</v>
      </c>
    </row>
    <row r="327">
      <c r="A327" t="s">
        <v>1929</v>
      </c>
      <c r="B327" t="s">
        <v>2004</v>
      </c>
      <c r="C327" t="s">
        <v>24</v>
      </c>
      <c r="D327" t="s">
        <v>25</v>
      </c>
      <c r="E327" t="s">
        <v>2005</v>
      </c>
      <c r="F327" s="2" t="n">
        <f>HYPERLINK("https://patents.google.com/patent/US9711859","Google")</f>
        <v>0.0</v>
      </c>
      <c r="G327" s="2" t="n">
        <f>HYPERLINK("https://patentcenter.uspto.gov/applications/13762836","Patent Center")</f>
        <v>0.0</v>
      </c>
      <c r="H327" s="2" t="n">
        <f>HYPERLINK("https://worldwide.espacenet.com/patent/search?q=US9711859","Espacenet")</f>
        <v>0.0</v>
      </c>
      <c r="I327" s="2" t="n">
        <f>HYPERLINK("https://ppubs.uspto.gov/pubwebapp/external.html?q=9711859.pn.","USPTO")</f>
        <v>0.0</v>
      </c>
      <c r="J327" s="2" t="n">
        <f>HYPERLINK("https://image-ppubs.uspto.gov/dirsearch-public/print/downloadPdf/9711859","USPTO PDF")</f>
        <v>0.0</v>
      </c>
      <c r="K327" s="2" t="n">
        <f>HYPERLINK("https://sectors.patentforecast.com/pmd/US9711859","PMD")</f>
        <v>0.0</v>
      </c>
      <c r="L327" s="2" t="n">
        <f>HYPERLINK("https://globaldossier.uspto.gov/result/patent/US/9711859/1","US9711859")</f>
        <v>0.0</v>
      </c>
      <c r="M327" t="s">
        <v>2006</v>
      </c>
      <c r="N327" t="s">
        <v>515</v>
      </c>
      <c r="O327" t="s">
        <v>516</v>
      </c>
      <c r="P327" t="s">
        <v>2007</v>
      </c>
      <c r="Q327" s="3" t="n">
        <v>41313.0</v>
      </c>
      <c r="R327" s="3" t="n">
        <v>42934.0</v>
      </c>
      <c r="S327" s="3" t="n">
        <v>43791.466333136574</v>
      </c>
      <c r="T327" s="3" t="n">
        <v>43791.533685104165</v>
      </c>
      <c r="U327" t="s">
        <v>2008</v>
      </c>
      <c r="V327" t="s">
        <v>519</v>
      </c>
    </row>
    <row r="328">
      <c r="A328" t="s">
        <v>1929</v>
      </c>
      <c r="B328" t="s">
        <v>2009</v>
      </c>
      <c r="C328" t="s">
        <v>24</v>
      </c>
      <c r="D328" t="s">
        <v>25</v>
      </c>
      <c r="E328" t="s">
        <v>2010</v>
      </c>
      <c r="F328" s="2" t="n">
        <f>HYPERLINK("https://patents.google.com/patent/US9680208","Google")</f>
        <v>0.0</v>
      </c>
      <c r="G328" s="2" t="n">
        <f>HYPERLINK("https://patentcenter.uspto.gov/applications/15379219","Patent Center")</f>
        <v>0.0</v>
      </c>
      <c r="H328" s="2" t="n">
        <f>HYPERLINK("https://worldwide.espacenet.com/patent/search?q=US9680208","Espacenet")</f>
        <v>0.0</v>
      </c>
      <c r="I328" s="2" t="n">
        <f>HYPERLINK("https://ppubs.uspto.gov/pubwebapp/external.html?q=9680208.pn.","USPTO")</f>
        <v>0.0</v>
      </c>
      <c r="J328" s="2" t="n">
        <f>HYPERLINK("https://image-ppubs.uspto.gov/dirsearch-public/print/downloadPdf/9680208","USPTO PDF")</f>
        <v>0.0</v>
      </c>
      <c r="K328" s="2" t="n">
        <f>HYPERLINK("https://sectors.patentforecast.com/pmd/US9680208","PMD")</f>
        <v>0.0</v>
      </c>
      <c r="L328" s="2" t="n">
        <f>HYPERLINK("https://globaldossier.uspto.gov/result/patent/US/9680208/1","US9680208")</f>
        <v>0.0</v>
      </c>
      <c r="M328" t="s">
        <v>2011</v>
      </c>
      <c r="N328" t="s">
        <v>314</v>
      </c>
      <c r="O328" t="s">
        <v>315</v>
      </c>
      <c r="P328" t="s">
        <v>2012</v>
      </c>
      <c r="Q328" s="3" t="n">
        <v>42718.0</v>
      </c>
      <c r="R328" s="3" t="n">
        <v>42899.0</v>
      </c>
      <c r="S328" s="3" t="n">
        <v>43787.400959293984</v>
      </c>
      <c r="T328" s="3" t="n">
        <v>43788.67679730324</v>
      </c>
      <c r="U328" t="s">
        <v>2013</v>
      </c>
      <c r="V328" t="s">
        <v>2014</v>
      </c>
    </row>
    <row r="329">
      <c r="A329" t="s">
        <v>1929</v>
      </c>
      <c r="B329" t="s">
        <v>2015</v>
      </c>
      <c r="C329" t="s">
        <v>24</v>
      </c>
      <c r="D329" t="s">
        <v>25</v>
      </c>
      <c r="E329" t="s">
        <v>1823</v>
      </c>
      <c r="F329" s="2" t="n">
        <f>HYPERLINK("https://patents.google.com/patent/US9668193","Google")</f>
        <v>0.0</v>
      </c>
      <c r="G329" s="2" t="n">
        <f>HYPERLINK("https://patentcenter.uspto.gov/applications/13927033","Patent Center")</f>
        <v>0.0</v>
      </c>
      <c r="H329" s="2" t="n">
        <f>HYPERLINK("https://worldwide.espacenet.com/patent/search?q=US9668193","Espacenet")</f>
        <v>0.0</v>
      </c>
      <c r="I329" s="2" t="n">
        <f>HYPERLINK("https://ppubs.uspto.gov/pubwebapp/external.html?q=9668193.pn.","USPTO")</f>
        <v>0.0</v>
      </c>
      <c r="J329" s="2" t="n">
        <f>HYPERLINK("https://image-ppubs.uspto.gov/dirsearch-public/print/downloadPdf/9668193","USPTO PDF")</f>
        <v>0.0</v>
      </c>
      <c r="K329" s="2" t="n">
        <f>HYPERLINK("https://sectors.patentforecast.com/pmd/US9668193","PMD")</f>
        <v>0.0</v>
      </c>
      <c r="L329" s="2" t="n">
        <f>HYPERLINK("https://globaldossier.uspto.gov/result/patent/US/9668193/1","US9668193")</f>
        <v>0.0</v>
      </c>
      <c r="M329" t="s">
        <v>2016</v>
      </c>
      <c r="N329" t="s">
        <v>2017</v>
      </c>
      <c r="O329" t="s">
        <v>2018</v>
      </c>
      <c r="P329" t="s">
        <v>2019</v>
      </c>
      <c r="Q329" s="3" t="n">
        <v>41450.0</v>
      </c>
      <c r="R329" s="3" t="n">
        <v>42885.0</v>
      </c>
      <c r="S329" s="3" t="n">
        <v>43790.78647684028</v>
      </c>
      <c r="T329" s="3" t="n">
        <v>43791.4736072338</v>
      </c>
      <c r="U329" t="s">
        <v>2020</v>
      </c>
      <c r="V329" t="s">
        <v>2021</v>
      </c>
    </row>
    <row r="330">
      <c r="A330" t="s">
        <v>1929</v>
      </c>
      <c r="B330" t="s">
        <v>2022</v>
      </c>
      <c r="C330" t="s">
        <v>168</v>
      </c>
      <c r="D330" t="s">
        <v>168</v>
      </c>
      <c r="E330" t="s">
        <v>2023</v>
      </c>
      <c r="F330" s="2" t="n">
        <f>HYPERLINK("https://patents.google.com/patent/US9634491","Google")</f>
        <v>0.0</v>
      </c>
      <c r="G330" s="2" t="n">
        <f>HYPERLINK("https://patentcenter.uspto.gov/applications/14109156","Patent Center")</f>
        <v>0.0</v>
      </c>
      <c r="H330" s="2" t="n">
        <f>HYPERLINK("https://worldwide.espacenet.com/patent/search?q=US9634491","Espacenet")</f>
        <v>0.0</v>
      </c>
      <c r="I330" s="2" t="n">
        <f>HYPERLINK("https://ppubs.uspto.gov/pubwebapp/external.html?q=9634491.pn.","USPTO")</f>
        <v>0.0</v>
      </c>
      <c r="J330" s="2" t="n">
        <f>HYPERLINK("https://image-ppubs.uspto.gov/dirsearch-public/print/downloadPdf/9634491","USPTO PDF")</f>
        <v>0.0</v>
      </c>
      <c r="K330" s="2" t="n">
        <f>HYPERLINK("https://sectors.patentforecast.com/pmd/US9634491","PMD")</f>
        <v>0.0</v>
      </c>
      <c r="L330" s="2" t="n">
        <f>HYPERLINK("https://globaldossier.uspto.gov/result/patent/US/9634491/1","US9634491")</f>
        <v>0.0</v>
      </c>
      <c r="M330" t="s">
        <v>1442</v>
      </c>
      <c r="N330" t="s">
        <v>1200</v>
      </c>
      <c r="O330" t="s">
        <v>1201</v>
      </c>
      <c r="P330" t="s">
        <v>2024</v>
      </c>
      <c r="Q330" s="3" t="n">
        <v>41625.0</v>
      </c>
      <c r="R330" s="3" t="n">
        <v>42850.0</v>
      </c>
      <c r="S330" s="3" t="n">
        <v>43789.473683564815</v>
      </c>
      <c r="T330" s="3" t="n">
        <v>43789.565836747686</v>
      </c>
      <c r="U330" t="s">
        <v>2025</v>
      </c>
      <c r="V330" t="s">
        <v>2026</v>
      </c>
    </row>
    <row r="331">
      <c r="A331" t="s">
        <v>1929</v>
      </c>
      <c r="B331" t="s">
        <v>2027</v>
      </c>
      <c r="C331" t="s">
        <v>24</v>
      </c>
      <c r="D331" t="s">
        <v>25</v>
      </c>
      <c r="E331" t="s">
        <v>2028</v>
      </c>
      <c r="F331" s="2" t="n">
        <f>HYPERLINK("https://patents.google.com/patent/US9583953","Google")</f>
        <v>0.0</v>
      </c>
      <c r="G331" s="2" t="n">
        <f>HYPERLINK("https://patentcenter.uspto.gov/applications/13765564","Patent Center")</f>
        <v>0.0</v>
      </c>
      <c r="H331" s="2" t="n">
        <f>HYPERLINK("https://worldwide.espacenet.com/patent/search?q=US9583953","Espacenet")</f>
        <v>0.0</v>
      </c>
      <c r="I331" s="2" t="n">
        <f>HYPERLINK("https://ppubs.uspto.gov/pubwebapp/external.html?q=9583953.pn.","USPTO")</f>
        <v>0.0</v>
      </c>
      <c r="J331" s="2" t="n">
        <f>HYPERLINK("https://image-ppubs.uspto.gov/dirsearch-public/print/downloadPdf/9583953","USPTO PDF")</f>
        <v>0.0</v>
      </c>
      <c r="K331" s="2" t="n">
        <f>HYPERLINK("https://sectors.patentforecast.com/pmd/US9583953","PMD")</f>
        <v>0.0</v>
      </c>
      <c r="L331" s="2" t="n">
        <f>HYPERLINK("https://globaldossier.uspto.gov/result/patent/US/9583953/1","US9583953")</f>
        <v>0.0</v>
      </c>
      <c r="M331" t="s">
        <v>2029</v>
      </c>
      <c r="N331" t="s">
        <v>901</v>
      </c>
      <c r="O331" t="s">
        <v>902</v>
      </c>
      <c r="P331" t="s">
        <v>2030</v>
      </c>
      <c r="Q331" s="3" t="n">
        <v>41317.0</v>
      </c>
      <c r="R331" s="3" t="n">
        <v>42794.0</v>
      </c>
      <c r="S331" s="3" t="n">
        <v>43791.53184103009</v>
      </c>
      <c r="T331" s="3" t="n">
        <v>43791.53442225695</v>
      </c>
      <c r="U331" t="s">
        <v>2031</v>
      </c>
      <c r="V331" t="s">
        <v>2032</v>
      </c>
    </row>
    <row r="332">
      <c r="A332" t="s">
        <v>1929</v>
      </c>
      <c r="B332" t="s">
        <v>2033</v>
      </c>
      <c r="C332" t="s">
        <v>61</v>
      </c>
      <c r="D332" t="s">
        <v>61</v>
      </c>
      <c r="E332" t="s">
        <v>2034</v>
      </c>
      <c r="F332" s="2" t="n">
        <f>HYPERLINK("https://patents.google.com/patent/US9577746","Google")</f>
        <v>0.0</v>
      </c>
      <c r="G332" s="2" t="n">
        <f>HYPERLINK("https://patentcenter.uspto.gov/applications/14803199","Patent Center")</f>
        <v>0.0</v>
      </c>
      <c r="H332" s="2" t="n">
        <f>HYPERLINK("https://worldwide.espacenet.com/patent/search?q=US9577746","Espacenet")</f>
        <v>0.0</v>
      </c>
      <c r="I332" s="2" t="n">
        <f>HYPERLINK("https://ppubs.uspto.gov/pubwebapp/external.html?q=9577746.pn.","USPTO")</f>
        <v>0.0</v>
      </c>
      <c r="J332" s="2" t="n">
        <f>HYPERLINK("https://image-ppubs.uspto.gov/dirsearch-public/print/downloadPdf/9577746","USPTO PDF")</f>
        <v>0.0</v>
      </c>
      <c r="K332" s="2" t="n">
        <f>HYPERLINK("https://sectors.patentforecast.com/pmd/US9577746","PMD")</f>
        <v>0.0</v>
      </c>
      <c r="L332" s="2" t="n">
        <f>HYPERLINK("https://globaldossier.uspto.gov/result/patent/US/9577746/1","US9577746")</f>
        <v>0.0</v>
      </c>
      <c r="M332" t="s">
        <v>2035</v>
      </c>
      <c r="N332" t="s">
        <v>1408</v>
      </c>
      <c r="O332" t="s">
        <v>1409</v>
      </c>
      <c r="P332" t="s">
        <v>2036</v>
      </c>
      <c r="Q332" s="3" t="n">
        <v>42205.0</v>
      </c>
      <c r="R332" s="3" t="n">
        <v>42787.0</v>
      </c>
      <c r="S332" s="3" t="n">
        <v>43788.41205840278</v>
      </c>
      <c r="T332" s="3" t="n">
        <v>43790.43627353009</v>
      </c>
      <c r="U332" t="s">
        <v>2037</v>
      </c>
      <c r="V332" t="s">
        <v>2038</v>
      </c>
    </row>
    <row r="333">
      <c r="A333" t="s">
        <v>1929</v>
      </c>
      <c r="B333" t="s">
        <v>2039</v>
      </c>
      <c r="C333" t="s">
        <v>24</v>
      </c>
      <c r="D333" t="s">
        <v>25</v>
      </c>
      <c r="E333" t="s">
        <v>2040</v>
      </c>
      <c r="F333" s="2" t="n">
        <f>HYPERLINK("https://patents.google.com/patent/US9564977","Google")</f>
        <v>0.0</v>
      </c>
      <c r="G333" s="2" t="n">
        <f>HYPERLINK("https://patentcenter.uspto.gov/applications/13318025","Patent Center")</f>
        <v>0.0</v>
      </c>
      <c r="H333" s="2" t="n">
        <f>HYPERLINK("https://worldwide.espacenet.com/patent/search?q=US9564977","Espacenet")</f>
        <v>0.0</v>
      </c>
      <c r="I333" s="2" t="n">
        <f>HYPERLINK("https://ppubs.uspto.gov/pubwebapp/external.html?q=9564977.pn.","USPTO")</f>
        <v>0.0</v>
      </c>
      <c r="J333" s="2" t="n">
        <f>HYPERLINK("https://image-ppubs.uspto.gov/dirsearch-public/print/downloadPdf/9564977","USPTO PDF")</f>
        <v>0.0</v>
      </c>
      <c r="K333" s="2" t="n">
        <f>HYPERLINK("https://sectors.patentforecast.com/pmd/US9564977","PMD")</f>
        <v>0.0</v>
      </c>
      <c r="L333" s="2" t="n">
        <f>HYPERLINK("https://globaldossier.uspto.gov/result/patent/US/9564977/1","US9564977")</f>
        <v>0.0</v>
      </c>
      <c r="M333" t="s">
        <v>1482</v>
      </c>
      <c r="N333" t="s">
        <v>1085</v>
      </c>
      <c r="O333" t="s">
        <v>1086</v>
      </c>
      <c r="P333" t="s">
        <v>2041</v>
      </c>
      <c r="Q333" s="3" t="n">
        <v>40498.0</v>
      </c>
      <c r="R333" s="3" t="n">
        <v>42773.0</v>
      </c>
      <c r="S333" s="3" t="n">
        <v>43788.41205840278</v>
      </c>
      <c r="T333" s="3" t="n">
        <v>43789.44660394676</v>
      </c>
      <c r="U333" t="s">
        <v>2042</v>
      </c>
      <c r="V333" t="s">
        <v>1485</v>
      </c>
    </row>
    <row r="334">
      <c r="A334" t="s">
        <v>1929</v>
      </c>
      <c r="B334" t="s">
        <v>2043</v>
      </c>
      <c r="C334" t="s">
        <v>24</v>
      </c>
      <c r="D334" t="s">
        <v>25</v>
      </c>
      <c r="E334" t="s">
        <v>2044</v>
      </c>
      <c r="F334" s="2" t="n">
        <f>HYPERLINK("https://patents.google.com/patent/US9532398","Google")</f>
        <v>0.0</v>
      </c>
      <c r="G334" s="2" t="n">
        <f>HYPERLINK("https://patentcenter.uspto.gov/applications/14024630","Patent Center")</f>
        <v>0.0</v>
      </c>
      <c r="H334" s="2" t="n">
        <f>HYPERLINK("https://worldwide.espacenet.com/patent/search?q=US9532398","Espacenet")</f>
        <v>0.0</v>
      </c>
      <c r="I334" s="2" t="n">
        <f>HYPERLINK("https://ppubs.uspto.gov/pubwebapp/external.html?q=9532398.pn.","USPTO")</f>
        <v>0.0</v>
      </c>
      <c r="J334" s="2" t="n">
        <f>HYPERLINK("https://image-ppubs.uspto.gov/dirsearch-public/print/downloadPdf/9532398","USPTO PDF")</f>
        <v>0.0</v>
      </c>
      <c r="K334" s="2" t="n">
        <f>HYPERLINK("https://sectors.patentforecast.com/pmd/US9532398","PMD")</f>
        <v>0.0</v>
      </c>
      <c r="L334" s="2" t="n">
        <f>HYPERLINK("https://globaldossier.uspto.gov/result/patent/US/9532398/1","US9532398")</f>
        <v>0.0</v>
      </c>
      <c r="M334" t="s">
        <v>1364</v>
      </c>
      <c r="N334" t="s">
        <v>930</v>
      </c>
      <c r="O334" t="s">
        <v>931</v>
      </c>
      <c r="P334" t="s">
        <v>2045</v>
      </c>
      <c r="Q334" s="3" t="n">
        <v>41528.0</v>
      </c>
      <c r="R334" s="3" t="n">
        <v>42731.0</v>
      </c>
      <c r="S334" s="3" t="n">
        <v>43791.410427627314</v>
      </c>
      <c r="T334" s="3" t="n">
        <v>43791.49870027778</v>
      </c>
      <c r="U334" t="s">
        <v>2046</v>
      </c>
      <c r="V334" t="s">
        <v>1367</v>
      </c>
    </row>
    <row r="335">
      <c r="A335" t="s">
        <v>1929</v>
      </c>
      <c r="B335" t="s">
        <v>2047</v>
      </c>
      <c r="C335" t="s">
        <v>24</v>
      </c>
      <c r="D335" t="s">
        <v>25</v>
      </c>
      <c r="E335" t="s">
        <v>2048</v>
      </c>
      <c r="F335" s="2" t="n">
        <f>HYPERLINK("https://patents.google.com/patent/US9515770","Google")</f>
        <v>0.0</v>
      </c>
      <c r="G335" s="2" t="n">
        <f>HYPERLINK("https://patentcenter.uspto.gov/applications/14177119","Patent Center")</f>
        <v>0.0</v>
      </c>
      <c r="H335" s="2" t="n">
        <f>HYPERLINK("https://worldwide.espacenet.com/patent/search?q=US9515770","Espacenet")</f>
        <v>0.0</v>
      </c>
      <c r="I335" s="2" t="n">
        <f>HYPERLINK("https://ppubs.uspto.gov/pubwebapp/external.html?q=9515770.pn.","USPTO")</f>
        <v>0.0</v>
      </c>
      <c r="J335" s="2" t="n">
        <f>HYPERLINK("https://image-ppubs.uspto.gov/dirsearch-public/print/downloadPdf/9515770","USPTO PDF")</f>
        <v>0.0</v>
      </c>
      <c r="K335" s="2" t="n">
        <f>HYPERLINK("https://sectors.patentforecast.com/pmd/US9515770","PMD")</f>
        <v>0.0</v>
      </c>
      <c r="L335" s="2" t="n">
        <f>HYPERLINK("https://globaldossier.uspto.gov/result/patent/US/9515770/1","US9515770")</f>
        <v>0.0</v>
      </c>
      <c r="M335" t="s">
        <v>2049</v>
      </c>
      <c r="N335" t="s">
        <v>1527</v>
      </c>
      <c r="O335" t="s">
        <v>1528</v>
      </c>
      <c r="P335" t="s">
        <v>2050</v>
      </c>
      <c r="Q335" s="3" t="n">
        <v>41680.0</v>
      </c>
      <c r="R335" s="3" t="n">
        <v>42710.0</v>
      </c>
      <c r="S335" s="3" t="n">
        <v>43790.72998633102</v>
      </c>
      <c r="T335" s="3" t="n">
        <v>43791.588917361114</v>
      </c>
      <c r="U335" t="s">
        <v>2051</v>
      </c>
      <c r="V335" t="s">
        <v>2052</v>
      </c>
    </row>
    <row r="336">
      <c r="A336" t="s">
        <v>1929</v>
      </c>
      <c r="B336" t="s">
        <v>2053</v>
      </c>
      <c r="C336" t="s">
        <v>24</v>
      </c>
      <c r="D336" t="s">
        <v>25</v>
      </c>
      <c r="E336" t="s">
        <v>2054</v>
      </c>
      <c r="F336" s="2" t="n">
        <f>HYPERLINK("https://patents.google.com/patent/US9491637","Google")</f>
        <v>0.0</v>
      </c>
      <c r="G336" s="2" t="n">
        <f>HYPERLINK("https://patentcenter.uspto.gov/applications/13956107","Patent Center")</f>
        <v>0.0</v>
      </c>
      <c r="H336" s="2" t="n">
        <f>HYPERLINK("https://worldwide.espacenet.com/patent/search?q=US9491637","Espacenet")</f>
        <v>0.0</v>
      </c>
      <c r="I336" s="2" t="n">
        <f>HYPERLINK("https://ppubs.uspto.gov/pubwebapp/external.html?q=9491637.pn.","USPTO")</f>
        <v>0.0</v>
      </c>
      <c r="J336" s="2" t="n">
        <f>HYPERLINK("https://image-ppubs.uspto.gov/dirsearch-public/print/downloadPdf/9491637","USPTO PDF")</f>
        <v>0.0</v>
      </c>
      <c r="K336" s="2" t="n">
        <f>HYPERLINK("https://sectors.patentforecast.com/pmd/US9491637","PMD")</f>
        <v>0.0</v>
      </c>
      <c r="L336" s="2" t="n">
        <f>HYPERLINK("https://globaldossier.uspto.gov/result/patent/US/9491637/1","US9491637")</f>
        <v>0.0</v>
      </c>
      <c r="M336" t="s">
        <v>1393</v>
      </c>
      <c r="N336" t="s">
        <v>1394</v>
      </c>
      <c r="O336" t="s">
        <v>1395</v>
      </c>
      <c r="P336" t="s">
        <v>2055</v>
      </c>
      <c r="Q336" s="3" t="n">
        <v>41486.0</v>
      </c>
      <c r="R336" s="3" t="n">
        <v>42682.0</v>
      </c>
      <c r="S336" s="3" t="n">
        <v>43788.41186880787</v>
      </c>
      <c r="T336" s="3" t="n">
        <v>43789.43518353009</v>
      </c>
      <c r="U336" t="s">
        <v>2056</v>
      </c>
      <c r="V336" t="s">
        <v>1398</v>
      </c>
    </row>
    <row r="337">
      <c r="A337" t="s">
        <v>1929</v>
      </c>
      <c r="B337" t="s">
        <v>2057</v>
      </c>
      <c r="C337" t="s">
        <v>61</v>
      </c>
      <c r="D337" t="s">
        <v>61</v>
      </c>
      <c r="E337" t="s">
        <v>2058</v>
      </c>
      <c r="F337" s="2" t="n">
        <f>HYPERLINK("https://patents.google.com/patent/US9489813","Google")</f>
        <v>0.0</v>
      </c>
      <c r="G337" s="2" t="n">
        <f>HYPERLINK("https://patentcenter.uspto.gov/applications/12287218","Patent Center")</f>
        <v>0.0</v>
      </c>
      <c r="H337" s="2" t="n">
        <f>HYPERLINK("https://worldwide.espacenet.com/patent/search?q=US9489813","Espacenet")</f>
        <v>0.0</v>
      </c>
      <c r="I337" s="2" t="n">
        <f>HYPERLINK("https://ppubs.uspto.gov/pubwebapp/external.html?q=9489813.pn.","USPTO")</f>
        <v>0.0</v>
      </c>
      <c r="J337" s="2" t="n">
        <f>HYPERLINK("https://image-ppubs.uspto.gov/dirsearch-public/print/downloadPdf/9489813","USPTO PDF")</f>
        <v>0.0</v>
      </c>
      <c r="K337" s="2" t="n">
        <f>HYPERLINK("https://sectors.patentforecast.com/pmd/US9489813","PMD")</f>
        <v>0.0</v>
      </c>
      <c r="L337" s="2" t="n">
        <f>HYPERLINK("https://globaldossier.uspto.gov/result/patent/US/9489813/1","US9489813")</f>
        <v>0.0</v>
      </c>
      <c r="M337" t="s">
        <v>2059</v>
      </c>
      <c r="N337" t="s">
        <v>227</v>
      </c>
      <c r="O337" t="s">
        <v>228</v>
      </c>
      <c r="P337" t="s">
        <v>2060</v>
      </c>
      <c r="Q337" s="3" t="n">
        <v>39727.0</v>
      </c>
      <c r="R337" s="3" t="n">
        <v>42682.0</v>
      </c>
      <c r="S337" s="3" t="n">
        <v>43788.41205840278</v>
      </c>
      <c r="T337" s="3" t="n">
        <v>43788.6818525</v>
      </c>
      <c r="U337" t="s">
        <v>2061</v>
      </c>
      <c r="V337" t="s">
        <v>2062</v>
      </c>
    </row>
    <row r="338">
      <c r="A338" t="s">
        <v>1929</v>
      </c>
      <c r="B338" t="s">
        <v>2063</v>
      </c>
      <c r="C338" t="s">
        <v>24</v>
      </c>
      <c r="D338" t="s">
        <v>25</v>
      </c>
      <c r="E338" t="s">
        <v>2064</v>
      </c>
      <c r="F338" s="2" t="n">
        <f>HYPERLINK("https://patents.google.com/patent/US9479912","Google")</f>
        <v>0.0</v>
      </c>
      <c r="G338" s="2" t="n">
        <f>HYPERLINK("https://patentcenter.uspto.gov/applications/14390125","Patent Center")</f>
        <v>0.0</v>
      </c>
      <c r="H338" s="2" t="n">
        <f>HYPERLINK("https://worldwide.espacenet.com/patent/search?q=US9479912","Espacenet")</f>
        <v>0.0</v>
      </c>
      <c r="I338" s="2" t="n">
        <f>HYPERLINK("https://ppubs.uspto.gov/pubwebapp/external.html?q=9479912.pn.","USPTO")</f>
        <v>0.0</v>
      </c>
      <c r="J338" s="2" t="n">
        <f>HYPERLINK("https://image-ppubs.uspto.gov/dirsearch-public/print/downloadPdf/9479912","USPTO PDF")</f>
        <v>0.0</v>
      </c>
      <c r="K338" s="2" t="n">
        <f>HYPERLINK("https://sectors.patentforecast.com/pmd/US9479912","PMD")</f>
        <v>0.0</v>
      </c>
      <c r="L338" s="2" t="n">
        <f>HYPERLINK("https://globaldossier.uspto.gov/result/patent/US/9479912/1","US9479912")</f>
        <v>0.0</v>
      </c>
      <c r="M338" t="s">
        <v>1377</v>
      </c>
      <c r="N338" t="s">
        <v>1378</v>
      </c>
      <c r="O338" t="s">
        <v>1379</v>
      </c>
      <c r="P338" t="s">
        <v>2065</v>
      </c>
      <c r="Q338" s="3" t="n">
        <v>41367.0</v>
      </c>
      <c r="R338" s="3" t="n">
        <v>42668.0</v>
      </c>
      <c r="S338" s="3" t="n">
        <v>43791.3828821412</v>
      </c>
      <c r="T338" s="3" t="n">
        <v>43791.48348603009</v>
      </c>
      <c r="U338" t="s">
        <v>2066</v>
      </c>
      <c r="V338" t="s">
        <v>1382</v>
      </c>
    </row>
    <row r="339">
      <c r="A339" t="s">
        <v>1929</v>
      </c>
      <c r="B339" t="s">
        <v>2067</v>
      </c>
      <c r="C339" t="s">
        <v>24</v>
      </c>
      <c r="D339" t="s">
        <v>25</v>
      </c>
      <c r="E339" t="s">
        <v>1980</v>
      </c>
      <c r="F339" s="2" t="n">
        <f>HYPERLINK("https://patents.google.com/patent/US9451646","Google")</f>
        <v>0.0</v>
      </c>
      <c r="G339" s="2" t="n">
        <f>HYPERLINK("https://patentcenter.uspto.gov/applications/14876482","Patent Center")</f>
        <v>0.0</v>
      </c>
      <c r="H339" s="2" t="n">
        <f>HYPERLINK("https://worldwide.espacenet.com/patent/search?q=US9451646","Espacenet")</f>
        <v>0.0</v>
      </c>
      <c r="I339" s="2" t="n">
        <f>HYPERLINK("https://ppubs.uspto.gov/pubwebapp/external.html?q=9451646.pn.","USPTO")</f>
        <v>0.0</v>
      </c>
      <c r="J339" s="2" t="n">
        <f>HYPERLINK("https://image-ppubs.uspto.gov/dirsearch-public/print/downloadPdf/9451646","USPTO PDF")</f>
        <v>0.0</v>
      </c>
      <c r="K339" s="2" t="n">
        <f>HYPERLINK("https://sectors.patentforecast.com/pmd/US9451646","PMD")</f>
        <v>0.0</v>
      </c>
      <c r="L339" s="2" t="n">
        <f>HYPERLINK("https://globaldossier.uspto.gov/result/patent/US/9451646/1","US9451646")</f>
        <v>0.0</v>
      </c>
      <c r="M339" t="s">
        <v>2068</v>
      </c>
      <c r="N339" t="s">
        <v>1455</v>
      </c>
      <c r="O339" t="s">
        <v>1456</v>
      </c>
      <c r="P339" t="s">
        <v>2069</v>
      </c>
      <c r="Q339" s="3" t="n">
        <v>42283.0</v>
      </c>
      <c r="R339" s="3" t="n">
        <v>42633.0</v>
      </c>
      <c r="S339" s="3" t="n">
        <v>43790.72998633102</v>
      </c>
      <c r="T339" s="3" t="n">
        <v>43791.48605471065</v>
      </c>
      <c r="U339" t="s">
        <v>2070</v>
      </c>
      <c r="V339" t="s">
        <v>1459</v>
      </c>
    </row>
    <row r="340">
      <c r="A340" t="s">
        <v>1929</v>
      </c>
      <c r="B340" t="s">
        <v>2071</v>
      </c>
      <c r="C340" t="s">
        <v>24</v>
      </c>
      <c r="D340" t="s">
        <v>25</v>
      </c>
      <c r="E340" t="s">
        <v>1980</v>
      </c>
      <c r="F340" s="2" t="n">
        <f>HYPERLINK("https://patents.google.com/patent/US9445280","Google")</f>
        <v>0.0</v>
      </c>
      <c r="G340" s="2" t="n">
        <f>HYPERLINK("https://patentcenter.uspto.gov/applications/14869895","Patent Center")</f>
        <v>0.0</v>
      </c>
      <c r="H340" s="2" t="n">
        <f>HYPERLINK("https://worldwide.espacenet.com/patent/search?q=US9445280","Espacenet")</f>
        <v>0.0</v>
      </c>
      <c r="I340" s="2" t="n">
        <f>HYPERLINK("https://ppubs.uspto.gov/pubwebapp/external.html?q=9445280.pn.","USPTO")</f>
        <v>0.0</v>
      </c>
      <c r="J340" s="2" t="n">
        <f>HYPERLINK("https://image-ppubs.uspto.gov/dirsearch-public/print/downloadPdf/9445280","USPTO PDF")</f>
        <v>0.0</v>
      </c>
      <c r="K340" s="2" t="n">
        <f>HYPERLINK("https://sectors.patentforecast.com/pmd/US9445280","PMD")</f>
        <v>0.0</v>
      </c>
      <c r="L340" s="2" t="n">
        <f>HYPERLINK("https://globaldossier.uspto.gov/result/patent/US/9445280/1","US9445280")</f>
        <v>0.0</v>
      </c>
      <c r="M340" t="s">
        <v>2072</v>
      </c>
      <c r="N340" t="s">
        <v>1455</v>
      </c>
      <c r="O340" t="s">
        <v>1456</v>
      </c>
      <c r="P340" t="s">
        <v>1982</v>
      </c>
      <c r="Q340" s="3" t="n">
        <v>42276.0</v>
      </c>
      <c r="R340" s="3" t="n">
        <v>42626.0</v>
      </c>
      <c r="S340" s="3" t="n">
        <v>43790.72906385417</v>
      </c>
      <c r="T340" s="3" t="n">
        <v>43791.47187368056</v>
      </c>
      <c r="U340" t="s">
        <v>1983</v>
      </c>
      <c r="V340" t="s">
        <v>1464</v>
      </c>
    </row>
    <row r="341">
      <c r="A341" t="s">
        <v>1929</v>
      </c>
      <c r="B341" t="s">
        <v>2073</v>
      </c>
      <c r="C341" t="s">
        <v>168</v>
      </c>
      <c r="D341" t="s">
        <v>168</v>
      </c>
      <c r="E341" t="s">
        <v>2074</v>
      </c>
      <c r="F341" s="2" t="n">
        <f>HYPERLINK("https://patents.google.com/patent/US9398637","Google")</f>
        <v>0.0</v>
      </c>
      <c r="G341" s="2" t="n">
        <f>HYPERLINK("https://patentcenter.uspto.gov/applications/14086381","Patent Center")</f>
        <v>0.0</v>
      </c>
      <c r="H341" s="2" t="n">
        <f>HYPERLINK("https://worldwide.espacenet.com/patent/search?q=US9398637","Espacenet")</f>
        <v>0.0</v>
      </c>
      <c r="I341" s="2" t="n">
        <f>HYPERLINK("https://ppubs.uspto.gov/pubwebapp/external.html?q=9398637.pn.","USPTO")</f>
        <v>0.0</v>
      </c>
      <c r="J341" s="2" t="n">
        <f>HYPERLINK("https://image-ppubs.uspto.gov/dirsearch-public/print/downloadPdf/9398637","USPTO PDF")</f>
        <v>0.0</v>
      </c>
      <c r="K341" s="2" t="n">
        <f>HYPERLINK("https://sectors.patentforecast.com/pmd/US9398637","PMD")</f>
        <v>0.0</v>
      </c>
      <c r="L341" s="2" t="n">
        <f>HYPERLINK("https://globaldossier.uspto.gov/result/patent/US/9398637/1","US9398637")</f>
        <v>0.0</v>
      </c>
      <c r="M341" t="s">
        <v>1352</v>
      </c>
      <c r="N341" t="s">
        <v>901</v>
      </c>
      <c r="O341" t="s">
        <v>902</v>
      </c>
      <c r="P341" t="s">
        <v>2075</v>
      </c>
      <c r="Q341" s="3" t="n">
        <v>41599.0</v>
      </c>
      <c r="R341" s="3" t="n">
        <v>42570.0</v>
      </c>
      <c r="S341" s="3" t="n">
        <v>43832.99069800926</v>
      </c>
      <c r="T341" s="3" t="n">
        <v>43791.419062106484</v>
      </c>
      <c r="U341" t="s">
        <v>2076</v>
      </c>
      <c r="V341" t="s">
        <v>1355</v>
      </c>
    </row>
    <row r="342">
      <c r="A342" t="s">
        <v>1929</v>
      </c>
      <c r="B342" t="s">
        <v>2077</v>
      </c>
      <c r="C342" t="s">
        <v>168</v>
      </c>
      <c r="D342" t="s">
        <v>168</v>
      </c>
      <c r="E342" t="s">
        <v>2078</v>
      </c>
      <c r="F342" s="2" t="n">
        <f>HYPERLINK("https://patents.google.com/patent/US9398453","Google")</f>
        <v>0.0</v>
      </c>
      <c r="G342" s="2" t="n">
        <f>HYPERLINK("https://patentcenter.uspto.gov/applications/11861279","Patent Center")</f>
        <v>0.0</v>
      </c>
      <c r="H342" s="2" t="n">
        <f>HYPERLINK("https://worldwide.espacenet.com/patent/search?q=US9398453","Espacenet")</f>
        <v>0.0</v>
      </c>
      <c r="I342" s="2" t="n">
        <f>HYPERLINK("https://ppubs.uspto.gov/pubwebapp/external.html?q=9398453.pn.","USPTO")</f>
        <v>0.0</v>
      </c>
      <c r="J342" s="2" t="n">
        <f>HYPERLINK("https://image-ppubs.uspto.gov/dirsearch-public/print/downloadPdf/9398453","USPTO PDF")</f>
        <v>0.0</v>
      </c>
      <c r="K342" s="2" t="n">
        <f>HYPERLINK("https://sectors.patentforecast.com/pmd/US9398453","PMD")</f>
        <v>0.0</v>
      </c>
      <c r="L342" s="2" t="n">
        <f>HYPERLINK("https://globaldossier.uspto.gov/result/patent/US/9398453/1","US9398453")</f>
        <v>0.0</v>
      </c>
      <c r="M342" t="s">
        <v>2079</v>
      </c>
      <c r="N342" t="s">
        <v>901</v>
      </c>
      <c r="O342" t="s">
        <v>902</v>
      </c>
      <c r="P342" t="s">
        <v>2080</v>
      </c>
      <c r="Q342" s="3" t="n">
        <v>39351.0</v>
      </c>
      <c r="R342" s="3" t="n">
        <v>42570.0</v>
      </c>
      <c r="S342" s="3" t="n">
        <v>43787.42582034722</v>
      </c>
      <c r="T342" s="3" t="n">
        <v>43789.41419574074</v>
      </c>
      <c r="U342" t="s">
        <v>2081</v>
      </c>
      <c r="V342" t="s">
        <v>2082</v>
      </c>
    </row>
    <row r="343">
      <c r="A343" t="s">
        <v>1929</v>
      </c>
      <c r="B343" t="s">
        <v>2083</v>
      </c>
      <c r="C343" t="s">
        <v>24</v>
      </c>
      <c r="D343" t="s">
        <v>25</v>
      </c>
      <c r="E343" t="s">
        <v>1940</v>
      </c>
      <c r="F343" s="2" t="n">
        <f>HYPERLINK("https://patents.google.com/patent/US9338650","Google")</f>
        <v>0.0</v>
      </c>
      <c r="G343" s="2" t="n">
        <f>HYPERLINK("https://patentcenter.uspto.gov/applications/14199324","Patent Center")</f>
        <v>0.0</v>
      </c>
      <c r="H343" s="2" t="n">
        <f>HYPERLINK("https://worldwide.espacenet.com/patent/search?q=US9338650","Espacenet")</f>
        <v>0.0</v>
      </c>
      <c r="I343" s="2" t="n">
        <f>HYPERLINK("https://ppubs.uspto.gov/pubwebapp/external.html?q=9338650.pn.","USPTO")</f>
        <v>0.0</v>
      </c>
      <c r="J343" s="2" t="n">
        <f>HYPERLINK("https://image-ppubs.uspto.gov/dirsearch-public/print/downloadPdf/9338650","USPTO PDF")</f>
        <v>0.0</v>
      </c>
      <c r="K343" s="2" t="n">
        <f>HYPERLINK("https://sectors.patentforecast.com/pmd/US9338650","PMD")</f>
        <v>0.0</v>
      </c>
      <c r="L343" s="2" t="n">
        <f>HYPERLINK("https://globaldossier.uspto.gov/result/patent/US/9338650/1","US9338650")</f>
        <v>0.0</v>
      </c>
      <c r="M343" t="s">
        <v>1421</v>
      </c>
      <c r="N343" t="s">
        <v>1019</v>
      </c>
      <c r="O343" t="s">
        <v>1020</v>
      </c>
      <c r="P343" t="s">
        <v>1941</v>
      </c>
      <c r="Q343" s="3" t="n">
        <v>41704.0</v>
      </c>
      <c r="R343" s="3" t="n">
        <v>42500.0</v>
      </c>
      <c r="S343" s="3" t="n">
        <v>43787.70591576389</v>
      </c>
      <c r="T343" s="3" t="n">
        <v>43789.42875615741</v>
      </c>
      <c r="U343" t="s">
        <v>2084</v>
      </c>
      <c r="V343" t="s">
        <v>1424</v>
      </c>
    </row>
    <row r="344">
      <c r="A344" t="s">
        <v>1929</v>
      </c>
      <c r="B344" t="s">
        <v>2085</v>
      </c>
      <c r="C344" t="s">
        <v>24</v>
      </c>
      <c r="D344" t="s">
        <v>25</v>
      </c>
      <c r="E344" t="s">
        <v>2086</v>
      </c>
      <c r="F344" s="2" t="n">
        <f>HYPERLINK("https://patents.google.com/patent/US9332478","Google")</f>
        <v>0.0</v>
      </c>
      <c r="G344" s="2" t="n">
        <f>HYPERLINK("https://patentcenter.uspto.gov/applications/13648704","Patent Center")</f>
        <v>0.0</v>
      </c>
      <c r="H344" s="2" t="n">
        <f>HYPERLINK("https://worldwide.espacenet.com/patent/search?q=US9332478","Espacenet")</f>
        <v>0.0</v>
      </c>
      <c r="I344" s="2" t="n">
        <f>HYPERLINK("https://ppubs.uspto.gov/pubwebapp/external.html?q=9332478.pn.","USPTO")</f>
        <v>0.0</v>
      </c>
      <c r="J344" s="2" t="n">
        <f>HYPERLINK("https://image-ppubs.uspto.gov/dirsearch-public/print/downloadPdf/9332478","USPTO PDF")</f>
        <v>0.0</v>
      </c>
      <c r="K344" s="2" t="n">
        <f>HYPERLINK("https://sectors.patentforecast.com/pmd/US9332478","PMD")</f>
        <v>0.0</v>
      </c>
      <c r="L344" s="2" t="n">
        <f>HYPERLINK("https://globaldossier.uspto.gov/result/patent/US/9332478/1","US9332478")</f>
        <v>0.0</v>
      </c>
      <c r="M344" t="s">
        <v>1526</v>
      </c>
      <c r="N344" t="s">
        <v>1527</v>
      </c>
      <c r="O344" t="s">
        <v>1528</v>
      </c>
      <c r="P344" t="s">
        <v>2087</v>
      </c>
      <c r="Q344" s="3" t="n">
        <v>41192.0</v>
      </c>
      <c r="R344" s="3" t="n">
        <v>42493.0</v>
      </c>
      <c r="S344" s="3" t="n">
        <v>43790.72998633102</v>
      </c>
      <c r="T344" s="3" t="n">
        <v>43791.58868917824</v>
      </c>
      <c r="U344" t="s">
        <v>2088</v>
      </c>
      <c r="V344" t="s">
        <v>2089</v>
      </c>
    </row>
    <row r="345">
      <c r="A345" t="s">
        <v>1929</v>
      </c>
      <c r="B345" t="s">
        <v>2090</v>
      </c>
      <c r="C345" t="s">
        <v>24</v>
      </c>
      <c r="D345" t="s">
        <v>25</v>
      </c>
      <c r="E345" t="s">
        <v>2091</v>
      </c>
      <c r="F345" s="2" t="n">
        <f>HYPERLINK("https://patents.google.com/patent/US9319961","Google")</f>
        <v>0.0</v>
      </c>
      <c r="G345" s="2" t="n">
        <f>HYPERLINK("https://patentcenter.uspto.gov/applications/14343611","Patent Center")</f>
        <v>0.0</v>
      </c>
      <c r="H345" s="2" t="n">
        <f>HYPERLINK("https://worldwide.espacenet.com/patent/search?q=US9319961","Espacenet")</f>
        <v>0.0</v>
      </c>
      <c r="I345" s="2" t="n">
        <f>HYPERLINK("https://ppubs.uspto.gov/pubwebapp/external.html?q=9319961.pn.","USPTO")</f>
        <v>0.0</v>
      </c>
      <c r="J345" s="2" t="n">
        <f>HYPERLINK("https://image-ppubs.uspto.gov/dirsearch-public/print/downloadPdf/9319961","USPTO PDF")</f>
        <v>0.0</v>
      </c>
      <c r="K345" s="2" t="n">
        <f>HYPERLINK("https://sectors.patentforecast.com/pmd/US9319961","PMD")</f>
        <v>0.0</v>
      </c>
      <c r="L345" s="2" t="n">
        <f>HYPERLINK("https://globaldossier.uspto.gov/result/patent/US/9319961/1","US9319961")</f>
        <v>0.0</v>
      </c>
      <c r="M345" t="s">
        <v>1435</v>
      </c>
      <c r="N345" t="s">
        <v>1436</v>
      </c>
      <c r="O345" t="s">
        <v>1437</v>
      </c>
      <c r="P345" t="s">
        <v>2092</v>
      </c>
      <c r="Q345" s="3" t="n">
        <v>41157.0</v>
      </c>
      <c r="R345" s="3" t="n">
        <v>42479.0</v>
      </c>
      <c r="S345" s="3" t="n">
        <v>43790.77963866898</v>
      </c>
      <c r="T345" s="3" t="n">
        <v>43791.481514467596</v>
      </c>
      <c r="U345" t="s">
        <v>2093</v>
      </c>
      <c r="V345" t="s">
        <v>2094</v>
      </c>
    </row>
    <row r="346">
      <c r="A346" t="s">
        <v>1929</v>
      </c>
      <c r="B346" t="s">
        <v>2095</v>
      </c>
      <c r="C346" t="s">
        <v>168</v>
      </c>
      <c r="D346" t="s">
        <v>168</v>
      </c>
      <c r="E346" t="s">
        <v>2096</v>
      </c>
      <c r="F346" s="2" t="n">
        <f>HYPERLINK("https://patents.google.com/patent/US9276437","Google")</f>
        <v>0.0</v>
      </c>
      <c r="G346" s="2" t="n">
        <f>HYPERLINK("https://patentcenter.uspto.gov/applications/14608052","Patent Center")</f>
        <v>0.0</v>
      </c>
      <c r="H346" s="2" t="n">
        <f>HYPERLINK("https://worldwide.espacenet.com/patent/search?q=US9276437","Espacenet")</f>
        <v>0.0</v>
      </c>
      <c r="I346" s="2" t="n">
        <f>HYPERLINK("https://ppubs.uspto.gov/pubwebapp/external.html?q=9276437.pn.","USPTO")</f>
        <v>0.0</v>
      </c>
      <c r="J346" s="2" t="n">
        <f>HYPERLINK("https://image-ppubs.uspto.gov/dirsearch-public/print/downloadPdf/9276437","USPTO PDF")</f>
        <v>0.0</v>
      </c>
      <c r="K346" s="2" t="n">
        <f>HYPERLINK("https://sectors.patentforecast.com/pmd/US9276437","PMD")</f>
        <v>0.0</v>
      </c>
      <c r="L346" s="2" t="n">
        <f>HYPERLINK("https://globaldossier.uspto.gov/result/patent/US/9276437/1","US9276437")</f>
        <v>0.0</v>
      </c>
      <c r="M346" t="s">
        <v>2097</v>
      </c>
      <c r="N346" t="s">
        <v>345</v>
      </c>
      <c r="O346" t="s">
        <v>346</v>
      </c>
      <c r="P346" t="s">
        <v>1977</v>
      </c>
      <c r="Q346" s="3" t="n">
        <v>42032.0</v>
      </c>
      <c r="R346" s="3" t="n">
        <v>42430.0</v>
      </c>
      <c r="S346" s="3" t="n">
        <v>43789.47419918981</v>
      </c>
      <c r="T346" s="3" t="n">
        <v>43790.38175810185</v>
      </c>
      <c r="U346" t="s">
        <v>2098</v>
      </c>
      <c r="V346" t="s">
        <v>2099</v>
      </c>
    </row>
    <row r="347">
      <c r="A347" t="s">
        <v>1929</v>
      </c>
      <c r="B347" t="s">
        <v>2100</v>
      </c>
      <c r="C347" t="s">
        <v>24</v>
      </c>
      <c r="D347" t="s">
        <v>25</v>
      </c>
      <c r="E347" t="s">
        <v>2101</v>
      </c>
      <c r="F347" s="2" t="n">
        <f>HYPERLINK("https://patents.google.com/patent/US9276306","Google")</f>
        <v>0.0</v>
      </c>
      <c r="G347" s="2" t="n">
        <f>HYPERLINK("https://patentcenter.uspto.gov/applications/13836801","Patent Center")</f>
        <v>0.0</v>
      </c>
      <c r="H347" s="2" t="n">
        <f>HYPERLINK("https://worldwide.espacenet.com/patent/search?q=US9276306","Espacenet")</f>
        <v>0.0</v>
      </c>
      <c r="I347" s="2" t="n">
        <f>HYPERLINK("https://ppubs.uspto.gov/pubwebapp/external.html?q=9276306.pn.","USPTO")</f>
        <v>0.0</v>
      </c>
      <c r="J347" s="2" t="n">
        <f>HYPERLINK("https://image-ppubs.uspto.gov/dirsearch-public/print/downloadPdf/9276306","USPTO PDF")</f>
        <v>0.0</v>
      </c>
      <c r="K347" s="2" t="n">
        <f>HYPERLINK("https://sectors.patentforecast.com/pmd/US9276306","PMD")</f>
        <v>0.0</v>
      </c>
      <c r="L347" s="2" t="n">
        <f>HYPERLINK("https://globaldossier.uspto.gov/result/patent/US/9276306/1","US9276306")</f>
        <v>0.0</v>
      </c>
      <c r="M347" t="s">
        <v>1427</v>
      </c>
      <c r="N347" t="s">
        <v>1428</v>
      </c>
      <c r="O347" t="s">
        <v>1429</v>
      </c>
      <c r="P347" t="s">
        <v>2102</v>
      </c>
      <c r="Q347" s="3" t="n">
        <v>41348.0</v>
      </c>
      <c r="R347" s="3" t="n">
        <v>42430.0</v>
      </c>
      <c r="S347" s="3" t="n">
        <v>43791.50672724537</v>
      </c>
      <c r="T347" s="3" t="n">
        <v>43791.594289872686</v>
      </c>
      <c r="U347" t="s">
        <v>2103</v>
      </c>
      <c r="V347" t="s">
        <v>1432</v>
      </c>
    </row>
    <row r="348">
      <c r="A348" t="s">
        <v>1929</v>
      </c>
      <c r="B348" t="s">
        <v>2104</v>
      </c>
      <c r="C348" t="s">
        <v>24</v>
      </c>
      <c r="D348" t="s">
        <v>25</v>
      </c>
      <c r="E348" t="s">
        <v>1993</v>
      </c>
      <c r="F348" s="2" t="n">
        <f>HYPERLINK("https://patents.google.com/patent/US9226192","Google")</f>
        <v>0.0</v>
      </c>
      <c r="G348" s="2" t="n">
        <f>HYPERLINK("https://patentcenter.uspto.gov/applications/14264297","Patent Center")</f>
        <v>0.0</v>
      </c>
      <c r="H348" s="2" t="n">
        <f>HYPERLINK("https://worldwide.espacenet.com/patent/search?q=US9226192","Espacenet")</f>
        <v>0.0</v>
      </c>
      <c r="I348" s="2" t="n">
        <f>HYPERLINK("https://ppubs.uspto.gov/pubwebapp/external.html?q=9226192.pn.","USPTO")</f>
        <v>0.0</v>
      </c>
      <c r="J348" s="2" t="n">
        <f>HYPERLINK("https://image-ppubs.uspto.gov/dirsearch-public/print/downloadPdf/9226192","USPTO PDF")</f>
        <v>0.0</v>
      </c>
      <c r="K348" s="2" t="n">
        <f>HYPERLINK("https://sectors.patentforecast.com/pmd/US9226192","PMD")</f>
        <v>0.0</v>
      </c>
      <c r="L348" s="2" t="n">
        <f>HYPERLINK("https://globaldossier.uspto.gov/result/patent/US/9226192/1","US9226192")</f>
        <v>0.0</v>
      </c>
      <c r="M348" t="s">
        <v>2105</v>
      </c>
      <c r="N348" t="s">
        <v>1455</v>
      </c>
      <c r="O348" t="s">
        <v>1456</v>
      </c>
      <c r="P348" t="s">
        <v>1995</v>
      </c>
      <c r="Q348" s="3" t="n">
        <v>41758.0</v>
      </c>
      <c r="R348" s="3" t="n">
        <v>42367.0</v>
      </c>
      <c r="S348" s="3" t="n">
        <v>43790.72998633102</v>
      </c>
      <c r="T348" s="3" t="n">
        <v>43791.588369212965</v>
      </c>
      <c r="U348" t="s">
        <v>2106</v>
      </c>
      <c r="V348" t="s">
        <v>1997</v>
      </c>
    </row>
    <row r="349">
      <c r="A349" t="s">
        <v>1929</v>
      </c>
      <c r="B349" t="s">
        <v>2107</v>
      </c>
      <c r="C349" t="s">
        <v>24</v>
      </c>
      <c r="D349" t="s">
        <v>25</v>
      </c>
      <c r="E349" t="s">
        <v>1980</v>
      </c>
      <c r="F349" s="2" t="n">
        <f>HYPERLINK("https://patents.google.com/patent/US9198221","Google")</f>
        <v>0.0</v>
      </c>
      <c r="G349" s="2" t="n">
        <f>HYPERLINK("https://patentcenter.uspto.gov/applications/13972112","Patent Center")</f>
        <v>0.0</v>
      </c>
      <c r="H349" s="2" t="n">
        <f>HYPERLINK("https://worldwide.espacenet.com/patent/search?q=US9198221","Espacenet")</f>
        <v>0.0</v>
      </c>
      <c r="I349" s="2" t="n">
        <f>HYPERLINK("https://ppubs.uspto.gov/pubwebapp/external.html?q=9198221.pn.","USPTO")</f>
        <v>0.0</v>
      </c>
      <c r="J349" s="2" t="n">
        <f>HYPERLINK("https://image-ppubs.uspto.gov/dirsearch-public/print/downloadPdf/9198221","USPTO PDF")</f>
        <v>0.0</v>
      </c>
      <c r="K349" s="2" t="n">
        <f>HYPERLINK("https://sectors.patentforecast.com/pmd/US9198221","PMD")</f>
        <v>0.0</v>
      </c>
      <c r="L349" s="2" t="n">
        <f>HYPERLINK("https://globaldossier.uspto.gov/result/patent/US/9198221/1","US9198221")</f>
        <v>0.0</v>
      </c>
      <c r="M349" t="s">
        <v>1454</v>
      </c>
      <c r="N349" t="s">
        <v>1455</v>
      </c>
      <c r="O349" t="s">
        <v>1456</v>
      </c>
      <c r="P349" t="s">
        <v>2069</v>
      </c>
      <c r="Q349" s="3" t="n">
        <v>41507.0</v>
      </c>
      <c r="R349" s="3" t="n">
        <v>42332.0</v>
      </c>
      <c r="S349" s="3" t="n">
        <v>43790.72998633102</v>
      </c>
      <c r="T349" s="3" t="n">
        <v>43791.58828269676</v>
      </c>
      <c r="U349" t="s">
        <v>2070</v>
      </c>
      <c r="V349" t="s">
        <v>1459</v>
      </c>
    </row>
    <row r="350">
      <c r="A350" t="s">
        <v>1929</v>
      </c>
      <c r="B350" t="s">
        <v>2108</v>
      </c>
      <c r="C350" t="s">
        <v>24</v>
      </c>
      <c r="D350" t="s">
        <v>25</v>
      </c>
      <c r="E350" t="s">
        <v>1980</v>
      </c>
      <c r="F350" s="2" t="n">
        <f>HYPERLINK("https://patents.google.com/patent/US9167442","Google")</f>
        <v>0.0</v>
      </c>
      <c r="G350" s="2" t="n">
        <f>HYPERLINK("https://patentcenter.uspto.gov/applications/13972169","Patent Center")</f>
        <v>0.0</v>
      </c>
      <c r="H350" s="2" t="n">
        <f>HYPERLINK("https://worldwide.espacenet.com/patent/search?q=US9167442","Espacenet")</f>
        <v>0.0</v>
      </c>
      <c r="I350" s="2" t="n">
        <f>HYPERLINK("https://ppubs.uspto.gov/pubwebapp/external.html?q=9167442.pn.","USPTO")</f>
        <v>0.0</v>
      </c>
      <c r="J350" s="2" t="n">
        <f>HYPERLINK("https://image-ppubs.uspto.gov/dirsearch-public/print/downloadPdf/9167442","USPTO PDF")</f>
        <v>0.0</v>
      </c>
      <c r="K350" s="2" t="n">
        <f>HYPERLINK("https://sectors.patentforecast.com/pmd/US9167442","PMD")</f>
        <v>0.0</v>
      </c>
      <c r="L350" s="2" t="n">
        <f>HYPERLINK("https://globaldossier.uspto.gov/result/patent/US/9167442/1","US9167442")</f>
        <v>0.0</v>
      </c>
      <c r="M350" t="s">
        <v>1461</v>
      </c>
      <c r="N350" t="s">
        <v>1455</v>
      </c>
      <c r="O350" t="s">
        <v>1456</v>
      </c>
      <c r="P350" t="s">
        <v>1982</v>
      </c>
      <c r="Q350" s="3" t="n">
        <v>41507.0</v>
      </c>
      <c r="R350" s="3" t="n">
        <v>42297.0</v>
      </c>
      <c r="S350" s="3" t="n">
        <v>43791.48521002315</v>
      </c>
      <c r="T350" s="3" t="n">
        <v>43791.59537605324</v>
      </c>
      <c r="U350" t="s">
        <v>1983</v>
      </c>
      <c r="V350" t="s">
        <v>1464</v>
      </c>
    </row>
    <row r="351">
      <c r="A351" t="s">
        <v>1929</v>
      </c>
      <c r="B351" t="s">
        <v>2109</v>
      </c>
      <c r="C351" t="s">
        <v>168</v>
      </c>
      <c r="D351" t="s">
        <v>168</v>
      </c>
      <c r="E351" t="s">
        <v>2078</v>
      </c>
      <c r="F351" s="2" t="n">
        <f>HYPERLINK("https://patents.google.com/patent/US9167426","Google")</f>
        <v>0.0</v>
      </c>
      <c r="G351" s="2" t="n">
        <f>HYPERLINK("https://patentcenter.uspto.gov/applications/13270138","Patent Center")</f>
        <v>0.0</v>
      </c>
      <c r="H351" s="2" t="n">
        <f>HYPERLINK("https://worldwide.espacenet.com/patent/search?q=US9167426","Espacenet")</f>
        <v>0.0</v>
      </c>
      <c r="I351" s="2" t="n">
        <f>HYPERLINK("https://ppubs.uspto.gov/pubwebapp/external.html?q=9167426.pn.","USPTO")</f>
        <v>0.0</v>
      </c>
      <c r="J351" s="2" t="n">
        <f>HYPERLINK("https://image-ppubs.uspto.gov/dirsearch-public/print/downloadPdf/9167426","USPTO PDF")</f>
        <v>0.0</v>
      </c>
      <c r="K351" s="2" t="n">
        <f>HYPERLINK("https://sectors.patentforecast.com/pmd/US9167426","PMD")</f>
        <v>0.0</v>
      </c>
      <c r="L351" s="2" t="n">
        <f>HYPERLINK("https://globaldossier.uspto.gov/result/patent/US/9167426/1","US9167426")</f>
        <v>0.0</v>
      </c>
      <c r="M351" t="s">
        <v>2110</v>
      </c>
      <c r="N351" t="s">
        <v>901</v>
      </c>
      <c r="O351" t="s">
        <v>902</v>
      </c>
      <c r="P351" t="s">
        <v>2080</v>
      </c>
      <c r="Q351" s="3" t="n">
        <v>40826.0</v>
      </c>
      <c r="R351" s="3" t="n">
        <v>42297.0</v>
      </c>
      <c r="S351" s="3" t="n">
        <v>43787.42582034722</v>
      </c>
      <c r="T351" s="3" t="n">
        <v>43789.41419574074</v>
      </c>
      <c r="U351" t="s">
        <v>2081</v>
      </c>
      <c r="V351" t="s">
        <v>2111</v>
      </c>
    </row>
    <row r="352">
      <c r="A352" t="s">
        <v>1929</v>
      </c>
      <c r="B352" t="s">
        <v>2112</v>
      </c>
      <c r="C352" t="s">
        <v>61</v>
      </c>
      <c r="D352" t="s">
        <v>61</v>
      </c>
      <c r="E352" t="s">
        <v>2113</v>
      </c>
      <c r="F352" s="2" t="n">
        <f>HYPERLINK("https://patents.google.com/patent/US8977132","Google")</f>
        <v>0.0</v>
      </c>
      <c r="G352" s="2" t="n">
        <f>HYPERLINK("https://patentcenter.uspto.gov/applications/14034261","Patent Center")</f>
        <v>0.0</v>
      </c>
      <c r="H352" s="2" t="n">
        <f>HYPERLINK("https://worldwide.espacenet.com/patent/search?q=US8977132","Espacenet")</f>
        <v>0.0</v>
      </c>
      <c r="I352" s="2" t="n">
        <f>HYPERLINK("https://ppubs.uspto.gov/pubwebapp/external.html?q=8977132.pn.","USPTO")</f>
        <v>0.0</v>
      </c>
      <c r="J352" s="2" t="n">
        <f>HYPERLINK("https://image-ppubs.uspto.gov/dirsearch-public/print/downloadPdf/8977132","USPTO PDF")</f>
        <v>0.0</v>
      </c>
      <c r="K352" s="2" t="n">
        <f>HYPERLINK("https://sectors.patentforecast.com/pmd/US8977132","PMD")</f>
        <v>0.0</v>
      </c>
      <c r="L352" s="2" t="n">
        <f>HYPERLINK("https://globaldossier.uspto.gov/result/patent/US/8977132/1","US8977132")</f>
        <v>0.0</v>
      </c>
      <c r="M352" t="s">
        <v>1407</v>
      </c>
      <c r="N352" t="s">
        <v>1408</v>
      </c>
      <c r="O352" t="s">
        <v>1409</v>
      </c>
      <c r="P352" t="s">
        <v>2036</v>
      </c>
      <c r="Q352" s="3" t="n">
        <v>41540.0</v>
      </c>
      <c r="R352" s="3" t="n">
        <v>42073.0</v>
      </c>
      <c r="S352" s="3" t="n">
        <v>43788.41286247685</v>
      </c>
      <c r="T352" s="3" t="n">
        <v>43789.42546679398</v>
      </c>
      <c r="U352" t="s">
        <v>2037</v>
      </c>
      <c r="V352" t="s">
        <v>1412</v>
      </c>
    </row>
    <row r="353">
      <c r="A353" t="s">
        <v>1929</v>
      </c>
      <c r="B353" t="s">
        <v>2114</v>
      </c>
      <c r="C353" t="s">
        <v>24</v>
      </c>
      <c r="D353" t="s">
        <v>25</v>
      </c>
      <c r="E353" t="s">
        <v>1689</v>
      </c>
      <c r="F353" s="2" t="n">
        <f>HYPERLINK("https://patents.google.com/patent/US8958416","Google")</f>
        <v>0.0</v>
      </c>
      <c r="G353" s="2" t="n">
        <f>HYPERLINK("https://patentcenter.uspto.gov/applications/13628177","Patent Center")</f>
        <v>0.0</v>
      </c>
      <c r="H353" s="2" t="n">
        <f>HYPERLINK("https://worldwide.espacenet.com/patent/search?q=US8958416","Espacenet")</f>
        <v>0.0</v>
      </c>
      <c r="I353" s="2" t="n">
        <f>HYPERLINK("https://ppubs.uspto.gov/pubwebapp/external.html?q=8958416.pn.","USPTO")</f>
        <v>0.0</v>
      </c>
      <c r="J353" s="2" t="n">
        <f>HYPERLINK("https://image-ppubs.uspto.gov/dirsearch-public/print/downloadPdf/8958416","USPTO PDF")</f>
        <v>0.0</v>
      </c>
      <c r="K353" s="2" t="n">
        <f>HYPERLINK("https://sectors.patentforecast.com/pmd/US8958416","PMD")</f>
        <v>0.0</v>
      </c>
      <c r="L353" s="2" t="n">
        <f>HYPERLINK("https://globaldossier.uspto.gov/result/patent/US/8958416/1","US8958416")</f>
        <v>0.0</v>
      </c>
      <c r="M353" t="s">
        <v>1533</v>
      </c>
      <c r="N353" t="s">
        <v>1275</v>
      </c>
      <c r="O353" t="s">
        <v>1275</v>
      </c>
      <c r="P353" t="s">
        <v>2115</v>
      </c>
      <c r="Q353" s="3" t="n">
        <v>41179.0</v>
      </c>
      <c r="R353" s="3" t="n">
        <v>42052.0</v>
      </c>
      <c r="S353" s="3" t="n">
        <v>43791.50672724537</v>
      </c>
      <c r="T353" s="3" t="n">
        <v>43791.52660305556</v>
      </c>
      <c r="U353" t="s">
        <v>2116</v>
      </c>
      <c r="V353" t="s">
        <v>1349</v>
      </c>
    </row>
    <row r="354">
      <c r="A354" t="s">
        <v>1929</v>
      </c>
      <c r="B354" t="s">
        <v>2117</v>
      </c>
      <c r="C354" t="s">
        <v>61</v>
      </c>
      <c r="D354" t="s">
        <v>61</v>
      </c>
      <c r="E354" t="s">
        <v>2118</v>
      </c>
      <c r="F354" s="2" t="n">
        <f>HYPERLINK("https://patents.google.com/patent/US8949918","Google")</f>
        <v>0.0</v>
      </c>
      <c r="G354" s="2" t="n">
        <f>HYPERLINK("https://patentcenter.uspto.gov/applications/14216584","Patent Center")</f>
        <v>0.0</v>
      </c>
      <c r="H354" s="2" t="n">
        <f>HYPERLINK("https://worldwide.espacenet.com/patent/search?q=US8949918","Espacenet")</f>
        <v>0.0</v>
      </c>
      <c r="I354" s="2" t="n">
        <f>HYPERLINK("https://ppubs.uspto.gov/pubwebapp/external.html?q=8949918.pn.","USPTO")</f>
        <v>0.0</v>
      </c>
      <c r="J354" s="2" t="n">
        <f>HYPERLINK("https://image-ppubs.uspto.gov/dirsearch-public/print/downloadPdf/8949918","USPTO PDF")</f>
        <v>0.0</v>
      </c>
      <c r="K354" s="2" t="n">
        <f>HYPERLINK("https://sectors.patentforecast.com/pmd/US8949918","PMD")</f>
        <v>0.0</v>
      </c>
      <c r="L354" s="2" t="n">
        <f>HYPERLINK("https://globaldossier.uspto.gov/result/patent/US/8949918/1","US8949918")</f>
        <v>0.0</v>
      </c>
      <c r="M354" t="s">
        <v>1415</v>
      </c>
      <c r="N354" t="s">
        <v>1408</v>
      </c>
      <c r="O354" t="s">
        <v>1409</v>
      </c>
      <c r="P354" t="s">
        <v>2119</v>
      </c>
      <c r="Q354" s="3" t="n">
        <v>41715.0</v>
      </c>
      <c r="R354" s="3" t="n">
        <v>42038.0</v>
      </c>
      <c r="S354" s="3" t="n">
        <v>43788.41286247685</v>
      </c>
      <c r="T354" s="3" t="n">
        <v>43788.6818525</v>
      </c>
      <c r="U354" t="s">
        <v>2120</v>
      </c>
      <c r="V354" t="s">
        <v>1418</v>
      </c>
    </row>
    <row r="355">
      <c r="A355" t="s">
        <v>1929</v>
      </c>
      <c r="B355" t="s">
        <v>2121</v>
      </c>
      <c r="C355" t="s">
        <v>24</v>
      </c>
      <c r="D355" t="s">
        <v>25</v>
      </c>
      <c r="E355" t="s">
        <v>1536</v>
      </c>
      <c r="F355" s="2" t="n">
        <f>HYPERLINK("https://patents.google.com/patent/US8948596","Google")</f>
        <v>0.0</v>
      </c>
      <c r="G355" s="2" t="n">
        <f>HYPERLINK("https://patentcenter.uspto.gov/applications/13539383","Patent Center")</f>
        <v>0.0</v>
      </c>
      <c r="H355" s="2" t="n">
        <f>HYPERLINK("https://worldwide.espacenet.com/patent/search?q=US8948596","Espacenet")</f>
        <v>0.0</v>
      </c>
      <c r="I355" s="2" t="n">
        <f>HYPERLINK("https://ppubs.uspto.gov/pubwebapp/external.html?q=8948596.pn.","USPTO")</f>
        <v>0.0</v>
      </c>
      <c r="J355" s="2" t="n">
        <f>HYPERLINK("https://image-ppubs.uspto.gov/dirsearch-public/print/downloadPdf/8948596","USPTO PDF")</f>
        <v>0.0</v>
      </c>
      <c r="K355" s="2" t="n">
        <f>HYPERLINK("https://sectors.patentforecast.com/pmd/US8948596","PMD")</f>
        <v>0.0</v>
      </c>
      <c r="L355" s="2" t="n">
        <f>HYPERLINK("https://globaldossier.uspto.gov/result/patent/US/8948596/1","US8948596")</f>
        <v>0.0</v>
      </c>
      <c r="M355" t="s">
        <v>1537</v>
      </c>
      <c r="N355" t="s">
        <v>1408</v>
      </c>
      <c r="O355" t="s">
        <v>1409</v>
      </c>
      <c r="P355" t="s">
        <v>2122</v>
      </c>
      <c r="Q355" s="3" t="n">
        <v>41090.0</v>
      </c>
      <c r="R355" s="3" t="n">
        <v>42038.0</v>
      </c>
      <c r="S355" s="3" t="n">
        <v>43788.41286247685</v>
      </c>
      <c r="T355" s="3" t="n">
        <v>43789.402368020834</v>
      </c>
      <c r="U355" t="s">
        <v>2037</v>
      </c>
      <c r="V355" t="s">
        <v>1538</v>
      </c>
    </row>
    <row r="356">
      <c r="A356" t="s">
        <v>1929</v>
      </c>
      <c r="B356" t="s">
        <v>2123</v>
      </c>
      <c r="C356" t="s">
        <v>168</v>
      </c>
      <c r="D356" t="s">
        <v>168</v>
      </c>
      <c r="E356" t="s">
        <v>2124</v>
      </c>
      <c r="F356" s="2" t="n">
        <f>HYPERLINK("https://patents.google.com/patent/US8910843","Google")</f>
        <v>0.0</v>
      </c>
      <c r="G356" s="2" t="n">
        <f>HYPERLINK("https://patentcenter.uspto.gov/applications/13886494","Patent Center")</f>
        <v>0.0</v>
      </c>
      <c r="H356" s="2" t="n">
        <f>HYPERLINK("https://worldwide.espacenet.com/patent/search?q=US8910843","Espacenet")</f>
        <v>0.0</v>
      </c>
      <c r="I356" s="2" t="n">
        <f>HYPERLINK("https://ppubs.uspto.gov/pubwebapp/external.html?q=8910843.pn.","USPTO")</f>
        <v>0.0</v>
      </c>
      <c r="J356" s="2" t="n">
        <f>HYPERLINK("https://image-ppubs.uspto.gov/dirsearch-public/print/downloadPdf/8910843","USPTO PDF")</f>
        <v>0.0</v>
      </c>
      <c r="K356" s="2" t="n">
        <f>HYPERLINK("https://sectors.patentforecast.com/pmd/US8910843","PMD")</f>
        <v>0.0</v>
      </c>
      <c r="L356" s="2" t="n">
        <f>HYPERLINK("https://globaldossier.uspto.gov/result/patent/US/8910843/1","US8910843")</f>
        <v>0.0</v>
      </c>
      <c r="M356" t="s">
        <v>1401</v>
      </c>
      <c r="N356" t="s">
        <v>227</v>
      </c>
      <c r="O356" t="s">
        <v>228</v>
      </c>
      <c r="P356" t="s">
        <v>2125</v>
      </c>
      <c r="Q356" s="3" t="n">
        <v>41397.0</v>
      </c>
      <c r="R356" s="3" t="n">
        <v>41989.0</v>
      </c>
      <c r="S356" s="3" t="n">
        <v>43787.469573055554</v>
      </c>
      <c r="T356" s="3" t="n">
        <v>43789.436159282406</v>
      </c>
      <c r="U356" t="s">
        <v>2126</v>
      </c>
      <c r="V356" t="s">
        <v>1404</v>
      </c>
    </row>
    <row r="357">
      <c r="A357" t="s">
        <v>1929</v>
      </c>
      <c r="B357" t="s">
        <v>2127</v>
      </c>
      <c r="C357" t="s">
        <v>24</v>
      </c>
      <c r="D357" t="s">
        <v>25</v>
      </c>
      <c r="E357" t="s">
        <v>2128</v>
      </c>
      <c r="F357" s="2" t="n">
        <f>HYPERLINK("https://patents.google.com/patent/US8902121","Google")</f>
        <v>0.0</v>
      </c>
      <c r="G357" s="2" t="n">
        <f>HYPERLINK("https://patentcenter.uspto.gov/applications/13473926","Patent Center")</f>
        <v>0.0</v>
      </c>
      <c r="H357" s="2" t="n">
        <f>HYPERLINK("https://worldwide.espacenet.com/patent/search?q=US8902121","Espacenet")</f>
        <v>0.0</v>
      </c>
      <c r="I357" s="2" t="n">
        <f>HYPERLINK("https://ppubs.uspto.gov/pubwebapp/external.html?q=8902121.pn.","USPTO")</f>
        <v>0.0</v>
      </c>
      <c r="J357" s="2" t="n">
        <f>HYPERLINK("https://image-ppubs.uspto.gov/dirsearch-public/print/downloadPdf/8902121","USPTO PDF")</f>
        <v>0.0</v>
      </c>
      <c r="K357" s="2" t="n">
        <f>HYPERLINK("https://sectors.patentforecast.com/pmd/US8902121","PMD")</f>
        <v>0.0</v>
      </c>
      <c r="L357" s="2" t="n">
        <f>HYPERLINK("https://globaldossier.uspto.gov/result/patent/US/8902121/1","US8902121")</f>
        <v>0.0</v>
      </c>
      <c r="M357" t="s">
        <v>2129</v>
      </c>
      <c r="N357" t="s">
        <v>975</v>
      </c>
      <c r="O357" t="s">
        <v>976</v>
      </c>
      <c r="P357" t="s">
        <v>2130</v>
      </c>
      <c r="Q357" s="3" t="n">
        <v>41080.0</v>
      </c>
      <c r="R357" s="3" t="n">
        <v>41975.0</v>
      </c>
      <c r="S357" s="3" t="n">
        <v>43788.41286247685</v>
      </c>
      <c r="T357" s="3" t="n">
        <v>43789.44590850695</v>
      </c>
      <c r="U357" t="s">
        <v>2131</v>
      </c>
      <c r="V357" t="s">
        <v>2132</v>
      </c>
    </row>
    <row r="358">
      <c r="A358" t="s">
        <v>1929</v>
      </c>
      <c r="B358" t="s">
        <v>2133</v>
      </c>
      <c r="C358" t="s">
        <v>24</v>
      </c>
      <c r="D358" t="s">
        <v>25</v>
      </c>
      <c r="E358" t="s">
        <v>1733</v>
      </c>
      <c r="F358" s="2" t="n">
        <f>HYPERLINK("https://patents.google.com/patent/US8850179","Google")</f>
        <v>0.0</v>
      </c>
      <c r="G358" s="2" t="n">
        <f>HYPERLINK("https://patentcenter.uspto.gov/applications/11898724","Patent Center")</f>
        <v>0.0</v>
      </c>
      <c r="H358" s="2" t="n">
        <f>HYPERLINK("https://worldwide.espacenet.com/patent/search?q=US8850179","Espacenet")</f>
        <v>0.0</v>
      </c>
      <c r="I358" s="2" t="n">
        <f>HYPERLINK("https://ppubs.uspto.gov/pubwebapp/external.html?q=8850179.pn.","USPTO")</f>
        <v>0.0</v>
      </c>
      <c r="J358" s="2" t="n">
        <f>HYPERLINK("https://image-ppubs.uspto.gov/dirsearch-public/print/downloadPdf/8850179","USPTO PDF")</f>
        <v>0.0</v>
      </c>
      <c r="K358" s="2" t="n">
        <f>HYPERLINK("https://sectors.patentforecast.com/pmd/US8850179","PMD")</f>
        <v>0.0</v>
      </c>
      <c r="L358" s="2" t="n">
        <f>HYPERLINK("https://globaldossier.uspto.gov/result/patent/US/8850179/1","US8850179")</f>
        <v>0.0</v>
      </c>
      <c r="M358" t="s">
        <v>1734</v>
      </c>
      <c r="N358" t="s">
        <v>1275</v>
      </c>
      <c r="O358" t="s">
        <v>1275</v>
      </c>
      <c r="P358" t="s">
        <v>2134</v>
      </c>
      <c r="Q358" s="3" t="n">
        <v>39339.0</v>
      </c>
      <c r="R358" s="3" t="n">
        <v>41912.0</v>
      </c>
      <c r="S358" s="3" t="n">
        <v>43791.50672724537</v>
      </c>
      <c r="T358" s="3" t="n">
        <v>43791.52428856481</v>
      </c>
      <c r="U358" t="s">
        <v>2135</v>
      </c>
      <c r="V358" t="s">
        <v>1736</v>
      </c>
    </row>
    <row r="359">
      <c r="A359" t="s">
        <v>1929</v>
      </c>
      <c r="B359" t="s">
        <v>2136</v>
      </c>
      <c r="C359" t="s">
        <v>24</v>
      </c>
      <c r="D359" t="s">
        <v>25</v>
      </c>
      <c r="E359" t="s">
        <v>2137</v>
      </c>
      <c r="F359" s="2" t="n">
        <f>HYPERLINK("https://patents.google.com/patent/US8849189","Google")</f>
        <v>0.0</v>
      </c>
      <c r="G359" s="2" t="n">
        <f>HYPERLINK("https://patentcenter.uspto.gov/applications/11832065","Patent Center")</f>
        <v>0.0</v>
      </c>
      <c r="H359" s="2" t="n">
        <f>HYPERLINK("https://worldwide.espacenet.com/patent/search?q=US8849189","Espacenet")</f>
        <v>0.0</v>
      </c>
      <c r="I359" s="2" t="n">
        <f>HYPERLINK("https://ppubs.uspto.gov/pubwebapp/external.html?q=8849189.pn.","USPTO")</f>
        <v>0.0</v>
      </c>
      <c r="J359" s="2" t="n">
        <f>HYPERLINK("https://image-ppubs.uspto.gov/dirsearch-public/print/downloadPdf/8849189","USPTO PDF")</f>
        <v>0.0</v>
      </c>
      <c r="K359" s="2" t="n">
        <f>HYPERLINK("https://sectors.patentforecast.com/pmd/US8849189","PMD")</f>
        <v>0.0</v>
      </c>
      <c r="L359" s="2" t="n">
        <f>HYPERLINK("https://globaldossier.uspto.gov/result/patent/US/8849189/1","US8849189")</f>
        <v>0.0</v>
      </c>
      <c r="M359" t="s">
        <v>2138</v>
      </c>
      <c r="N359" t="s">
        <v>975</v>
      </c>
      <c r="O359" t="s">
        <v>976</v>
      </c>
      <c r="P359" t="s">
        <v>2139</v>
      </c>
      <c r="Q359" s="3" t="n">
        <v>39295.0</v>
      </c>
      <c r="R359" s="3" t="n">
        <v>41912.0</v>
      </c>
      <c r="S359" s="3" t="n">
        <v>44497.63979763889</v>
      </c>
      <c r="T359" s="3" t="n">
        <v>44497.640380729164</v>
      </c>
      <c r="U359" t="s">
        <v>2140</v>
      </c>
      <c r="V359" t="s">
        <v>2141</v>
      </c>
    </row>
    <row r="360">
      <c r="A360" t="s">
        <v>1929</v>
      </c>
      <c r="B360" t="s">
        <v>2142</v>
      </c>
      <c r="C360" t="s">
        <v>24</v>
      </c>
      <c r="D360" t="s">
        <v>25</v>
      </c>
      <c r="E360" t="s">
        <v>2143</v>
      </c>
      <c r="F360" s="2" t="n">
        <f>HYPERLINK("https://patents.google.com/patent/US8811191","Google")</f>
        <v>0.0</v>
      </c>
      <c r="G360" s="2" t="n">
        <f>HYPERLINK("https://patentcenter.uspto.gov/applications/13669092","Patent Center")</f>
        <v>0.0</v>
      </c>
      <c r="H360" s="2" t="n">
        <f>HYPERLINK("https://worldwide.espacenet.com/patent/search?q=US8811191","Espacenet")</f>
        <v>0.0</v>
      </c>
      <c r="I360" s="2" t="n">
        <f>HYPERLINK("https://ppubs.uspto.gov/pubwebapp/external.html?q=8811191.pn.","USPTO")</f>
        <v>0.0</v>
      </c>
      <c r="J360" s="2" t="n">
        <f>HYPERLINK("https://image-ppubs.uspto.gov/dirsearch-public/print/downloadPdf/8811191","USPTO PDF")</f>
        <v>0.0</v>
      </c>
      <c r="K360" s="2" t="n">
        <f>HYPERLINK("https://sectors.patentforecast.com/pmd/US8811191","PMD")</f>
        <v>0.0</v>
      </c>
      <c r="L360" s="2" t="n">
        <f>HYPERLINK("https://globaldossier.uspto.gov/result/patent/US/8811191/1","US8811191")</f>
        <v>0.0</v>
      </c>
      <c r="M360" t="s">
        <v>1499</v>
      </c>
      <c r="N360" t="s">
        <v>1408</v>
      </c>
      <c r="O360" t="s">
        <v>1409</v>
      </c>
      <c r="P360" t="s">
        <v>2122</v>
      </c>
      <c r="Q360" s="3" t="n">
        <v>41218.0</v>
      </c>
      <c r="R360" s="3" t="n">
        <v>41870.0</v>
      </c>
      <c r="S360" s="3" t="n">
        <v>43788.41286247685</v>
      </c>
      <c r="T360" s="3" t="n">
        <v>43789.43487875</v>
      </c>
      <c r="U360" t="s">
        <v>2037</v>
      </c>
      <c r="V360" t="s">
        <v>1501</v>
      </c>
    </row>
    <row r="361">
      <c r="A361" t="s">
        <v>1929</v>
      </c>
      <c r="B361" t="s">
        <v>2144</v>
      </c>
      <c r="C361" t="s">
        <v>61</v>
      </c>
      <c r="D361" t="s">
        <v>61</v>
      </c>
      <c r="E361" t="s">
        <v>2145</v>
      </c>
      <c r="F361" s="2" t="n">
        <f>HYPERLINK("https://patents.google.com/patent/US8806559","Google")</f>
        <v>0.0</v>
      </c>
      <c r="G361" s="2" t="n">
        <f>HYPERLINK("https://patentcenter.uspto.gov/applications/14054771","Patent Center")</f>
        <v>0.0</v>
      </c>
      <c r="H361" s="2" t="n">
        <f>HYPERLINK("https://worldwide.espacenet.com/patent/search?q=US8806559","Espacenet")</f>
        <v>0.0</v>
      </c>
      <c r="I361" s="2" t="n">
        <f>HYPERLINK("https://ppubs.uspto.gov/pubwebapp/external.html?q=8806559.pn.","USPTO")</f>
        <v>0.0</v>
      </c>
      <c r="J361" s="2" t="n">
        <f>HYPERLINK("https://image-ppubs.uspto.gov/dirsearch-public/print/downloadPdf/8806559","USPTO PDF")</f>
        <v>0.0</v>
      </c>
      <c r="K361" s="2" t="n">
        <f>HYPERLINK("https://sectors.patentforecast.com/pmd/US8806559","PMD")</f>
        <v>0.0</v>
      </c>
      <c r="L361" s="2" t="n">
        <f>HYPERLINK("https://globaldossier.uspto.gov/result/patent/US/8806559/1","US8806559")</f>
        <v>0.0</v>
      </c>
      <c r="M361" t="s">
        <v>1467</v>
      </c>
      <c r="N361" t="s">
        <v>1408</v>
      </c>
      <c r="O361" t="s">
        <v>1409</v>
      </c>
      <c r="P361" t="s">
        <v>2036</v>
      </c>
      <c r="Q361" s="3" t="n">
        <v>41562.0</v>
      </c>
      <c r="R361" s="3" t="n">
        <v>41863.0</v>
      </c>
      <c r="S361" s="3" t="n">
        <v>43788.41286247685</v>
      </c>
      <c r="T361" s="3" t="n">
        <v>43789.425643738425</v>
      </c>
      <c r="U361" t="s">
        <v>2037</v>
      </c>
      <c r="V361" t="s">
        <v>1468</v>
      </c>
    </row>
    <row r="362">
      <c r="A362" t="s">
        <v>1929</v>
      </c>
      <c r="B362" t="s">
        <v>2146</v>
      </c>
      <c r="C362" t="s">
        <v>168</v>
      </c>
      <c r="D362" t="s">
        <v>168</v>
      </c>
      <c r="E362" t="s">
        <v>2147</v>
      </c>
      <c r="F362" s="2" t="n">
        <f>HYPERLINK("https://patents.google.com/patent/US8775846","Google")</f>
        <v>0.0</v>
      </c>
      <c r="G362" s="2" t="n">
        <f>HYPERLINK("https://patentcenter.uspto.gov/applications/12815994","Patent Center")</f>
        <v>0.0</v>
      </c>
      <c r="H362" s="2" t="n">
        <f>HYPERLINK("https://worldwide.espacenet.com/patent/search?q=US8775846","Espacenet")</f>
        <v>0.0</v>
      </c>
      <c r="I362" s="2" t="n">
        <f>HYPERLINK("https://ppubs.uspto.gov/pubwebapp/external.html?q=8775846.pn.","USPTO")</f>
        <v>0.0</v>
      </c>
      <c r="J362" s="2" t="n">
        <f>HYPERLINK("https://image-ppubs.uspto.gov/dirsearch-public/print/downloadPdf/8775846","USPTO PDF")</f>
        <v>0.0</v>
      </c>
      <c r="K362" s="2" t="n">
        <f>HYPERLINK("https://sectors.patentforecast.com/pmd/US8775846","PMD")</f>
        <v>0.0</v>
      </c>
      <c r="L362" s="2" t="n">
        <f>HYPERLINK("https://globaldossier.uspto.gov/result/patent/US/8775846/1","US8775846")</f>
        <v>0.0</v>
      </c>
      <c r="M362" t="s">
        <v>1561</v>
      </c>
      <c r="N362" t="s">
        <v>1200</v>
      </c>
      <c r="O362" t="s">
        <v>1201</v>
      </c>
      <c r="P362" t="s">
        <v>2024</v>
      </c>
      <c r="Q362" s="3" t="n">
        <v>40344.0</v>
      </c>
      <c r="R362" s="3" t="n">
        <v>41828.0</v>
      </c>
      <c r="S362" s="3" t="n">
        <v>43789.47419918981</v>
      </c>
      <c r="T362" s="3" t="n">
        <v>43789.50868788194</v>
      </c>
      <c r="U362" t="s">
        <v>2025</v>
      </c>
      <c r="V362" t="s">
        <v>1562</v>
      </c>
    </row>
    <row r="363">
      <c r="A363" t="s">
        <v>1929</v>
      </c>
      <c r="B363" t="s">
        <v>2148</v>
      </c>
      <c r="C363" t="s">
        <v>24</v>
      </c>
      <c r="D363" t="s">
        <v>25</v>
      </c>
      <c r="E363" t="s">
        <v>2149</v>
      </c>
      <c r="F363" s="2" t="n">
        <f>HYPERLINK("https://patents.google.com/patent/US8741131","Google")</f>
        <v>0.0</v>
      </c>
      <c r="G363" s="2" t="n">
        <f>HYPERLINK("https://patentcenter.uspto.gov/applications/13735181","Patent Center")</f>
        <v>0.0</v>
      </c>
      <c r="H363" s="2" t="n">
        <f>HYPERLINK("https://worldwide.espacenet.com/patent/search?q=US8741131","Espacenet")</f>
        <v>0.0</v>
      </c>
      <c r="I363" s="2" t="n">
        <f>HYPERLINK("https://ppubs.uspto.gov/pubwebapp/external.html?q=8741131.pn.","USPTO")</f>
        <v>0.0</v>
      </c>
      <c r="J363" s="2" t="n">
        <f>HYPERLINK("https://image-ppubs.uspto.gov/dirsearch-public/print/downloadPdf/8741131","USPTO PDF")</f>
        <v>0.0</v>
      </c>
      <c r="K363" s="2" t="n">
        <f>HYPERLINK("https://sectors.patentforecast.com/pmd/US8741131","PMD")</f>
        <v>0.0</v>
      </c>
      <c r="L363" s="2" t="n">
        <f>HYPERLINK("https://globaldossier.uspto.gov/result/patent/US/8741131/1","US8741131")</f>
        <v>0.0</v>
      </c>
      <c r="M363" t="s">
        <v>1488</v>
      </c>
      <c r="N363" t="s">
        <v>1489</v>
      </c>
      <c r="O363" t="s">
        <v>1490</v>
      </c>
      <c r="P363" t="s">
        <v>2150</v>
      </c>
      <c r="Q363" s="3" t="n">
        <v>41281.0</v>
      </c>
      <c r="R363" s="3" t="n">
        <v>41793.0</v>
      </c>
      <c r="S363" s="3" t="n">
        <v>43789.47432609954</v>
      </c>
      <c r="T363" s="3" t="n">
        <v>43790.36758521991</v>
      </c>
      <c r="U363" t="s">
        <v>2151</v>
      </c>
      <c r="V363" t="s">
        <v>1493</v>
      </c>
    </row>
    <row r="364">
      <c r="A364" t="s">
        <v>1929</v>
      </c>
      <c r="B364" t="s">
        <v>2152</v>
      </c>
      <c r="C364" t="s">
        <v>24</v>
      </c>
      <c r="D364" t="s">
        <v>25</v>
      </c>
      <c r="E364" t="s">
        <v>2153</v>
      </c>
      <c r="F364" s="2" t="n">
        <f>HYPERLINK("https://patents.google.com/patent/US8688111","Google")</f>
        <v>0.0</v>
      </c>
      <c r="G364" s="2" t="n">
        <f>HYPERLINK("https://patentcenter.uspto.gov/applications/13718054","Patent Center")</f>
        <v>0.0</v>
      </c>
      <c r="H364" s="2" t="n">
        <f>HYPERLINK("https://worldwide.espacenet.com/patent/search?q=US8688111","Espacenet")</f>
        <v>0.0</v>
      </c>
      <c r="I364" s="2" t="n">
        <f>HYPERLINK("https://ppubs.uspto.gov/pubwebapp/external.html?q=8688111.pn.","USPTO")</f>
        <v>0.0</v>
      </c>
      <c r="J364" s="2" t="n">
        <f>HYPERLINK("https://image-ppubs.uspto.gov/dirsearch-public/print/downloadPdf/8688111","USPTO PDF")</f>
        <v>0.0</v>
      </c>
      <c r="K364" s="2" t="n">
        <f>HYPERLINK("https://sectors.patentforecast.com/pmd/US8688111","PMD")</f>
        <v>0.0</v>
      </c>
      <c r="L364" s="2" t="n">
        <f>HYPERLINK("https://globaldossier.uspto.gov/result/patent/US/8688111/1","US8688111")</f>
        <v>0.0</v>
      </c>
      <c r="M364" t="s">
        <v>2154</v>
      </c>
      <c r="N364" t="s">
        <v>1527</v>
      </c>
      <c r="O364" t="s">
        <v>1528</v>
      </c>
      <c r="P364" t="s">
        <v>2087</v>
      </c>
      <c r="Q364" s="3" t="n">
        <v>41261.0</v>
      </c>
      <c r="R364" s="3" t="n">
        <v>41730.0</v>
      </c>
      <c r="S364" s="3" t="n">
        <v>43790.72998633102</v>
      </c>
      <c r="T364" s="3" t="n">
        <v>43791.58868917824</v>
      </c>
      <c r="U364" t="s">
        <v>2155</v>
      </c>
      <c r="V364" t="s">
        <v>2156</v>
      </c>
    </row>
    <row r="365">
      <c r="A365" t="s">
        <v>1929</v>
      </c>
      <c r="B365" t="s">
        <v>2157</v>
      </c>
      <c r="C365" t="s">
        <v>24</v>
      </c>
      <c r="D365" t="s">
        <v>25</v>
      </c>
      <c r="E365" t="s">
        <v>2048</v>
      </c>
      <c r="F365" s="2" t="n">
        <f>HYPERLINK("https://patents.google.com/patent/US8676197","Google")</f>
        <v>0.0</v>
      </c>
      <c r="G365" s="2" t="n">
        <f>HYPERLINK("https://patentcenter.uspto.gov/applications/11955017","Patent Center")</f>
        <v>0.0</v>
      </c>
      <c r="H365" s="2" t="n">
        <f>HYPERLINK("https://worldwide.espacenet.com/patent/search?q=US8676197","Espacenet")</f>
        <v>0.0</v>
      </c>
      <c r="I365" s="2" t="n">
        <f>HYPERLINK("https://ppubs.uspto.gov/pubwebapp/external.html?q=8676197.pn.","USPTO")</f>
        <v>0.0</v>
      </c>
      <c r="J365" s="2" t="n">
        <f>HYPERLINK("https://image-ppubs.uspto.gov/dirsearch-public/print/downloadPdf/8676197","USPTO PDF")</f>
        <v>0.0</v>
      </c>
      <c r="K365" s="2" t="n">
        <f>HYPERLINK("https://sectors.patentforecast.com/pmd/US8676197","PMD")</f>
        <v>0.0</v>
      </c>
      <c r="L365" s="2" t="n">
        <f>HYPERLINK("https://globaldossier.uspto.gov/result/patent/US/8676197/1","US8676197")</f>
        <v>0.0</v>
      </c>
      <c r="M365" t="s">
        <v>2158</v>
      </c>
      <c r="N365" t="s">
        <v>1620</v>
      </c>
      <c r="O365" t="s">
        <v>1621</v>
      </c>
      <c r="P365" t="s">
        <v>2050</v>
      </c>
      <c r="Q365" s="3" t="n">
        <v>39428.0</v>
      </c>
      <c r="R365" s="3" t="n">
        <v>41716.0</v>
      </c>
      <c r="S365" s="3" t="n">
        <v>43790.72998633102</v>
      </c>
      <c r="T365" s="3" t="n">
        <v>43791.588917361114</v>
      </c>
      <c r="U365" t="s">
        <v>2051</v>
      </c>
      <c r="V365" t="s">
        <v>2159</v>
      </c>
    </row>
    <row r="366">
      <c r="A366" t="s">
        <v>1929</v>
      </c>
      <c r="B366" t="s">
        <v>2160</v>
      </c>
      <c r="C366" t="s">
        <v>168</v>
      </c>
      <c r="D366" t="s">
        <v>168</v>
      </c>
      <c r="E366" t="s">
        <v>2161</v>
      </c>
      <c r="F366" s="2" t="n">
        <f>HYPERLINK("https://patents.google.com/patent/US8654749","Google")</f>
        <v>0.0</v>
      </c>
      <c r="G366" s="2" t="n">
        <f>HYPERLINK("https://patentcenter.uspto.gov/applications/13586781","Patent Center")</f>
        <v>0.0</v>
      </c>
      <c r="H366" s="2" t="n">
        <f>HYPERLINK("https://worldwide.espacenet.com/patent/search?q=US8654749","Espacenet")</f>
        <v>0.0</v>
      </c>
      <c r="I366" s="2" t="n">
        <f>HYPERLINK("https://ppubs.uspto.gov/pubwebapp/external.html?q=8654749.pn.","USPTO")</f>
        <v>0.0</v>
      </c>
      <c r="J366" s="2" t="n">
        <f>HYPERLINK("https://image-ppubs.uspto.gov/dirsearch-public/print/downloadPdf/8654749","USPTO PDF")</f>
        <v>0.0</v>
      </c>
      <c r="K366" s="2" t="n">
        <f>HYPERLINK("https://sectors.patentforecast.com/pmd/US8654749","PMD")</f>
        <v>0.0</v>
      </c>
      <c r="L366" s="2" t="n">
        <f>HYPERLINK("https://globaldossier.uspto.gov/result/patent/US/8654749/1","US8654749")</f>
        <v>0.0</v>
      </c>
      <c r="M366" t="s">
        <v>1504</v>
      </c>
      <c r="N366" t="s">
        <v>1505</v>
      </c>
      <c r="O366" t="s">
        <v>1506</v>
      </c>
      <c r="P366" t="s">
        <v>2162</v>
      </c>
      <c r="Q366" s="3" t="n">
        <v>41136.0</v>
      </c>
      <c r="R366" s="3" t="n">
        <v>41688.0</v>
      </c>
      <c r="S366" s="3" t="n">
        <v>43791.29307018519</v>
      </c>
      <c r="T366" s="3" t="n">
        <v>43791.47228949074</v>
      </c>
      <c r="U366" t="s">
        <v>2163</v>
      </c>
      <c r="V366" t="s">
        <v>2164</v>
      </c>
    </row>
    <row r="367">
      <c r="A367" t="s">
        <v>1929</v>
      </c>
      <c r="B367" t="s">
        <v>2165</v>
      </c>
      <c r="C367" t="s">
        <v>168</v>
      </c>
      <c r="D367" t="s">
        <v>168</v>
      </c>
      <c r="E367" t="s">
        <v>2166</v>
      </c>
      <c r="F367" s="2" t="n">
        <f>HYPERLINK("https://patents.google.com/patent/US8644206","Google")</f>
        <v>0.0</v>
      </c>
      <c r="G367" s="2" t="n">
        <f>HYPERLINK("https://patentcenter.uspto.gov/applications/11861280","Patent Center")</f>
        <v>0.0</v>
      </c>
      <c r="H367" s="2" t="n">
        <f>HYPERLINK("https://worldwide.espacenet.com/patent/search?q=US8644206","Espacenet")</f>
        <v>0.0</v>
      </c>
      <c r="I367" s="2" t="n">
        <f>HYPERLINK("https://ppubs.uspto.gov/pubwebapp/external.html?q=8644206.pn.","USPTO")</f>
        <v>0.0</v>
      </c>
      <c r="J367" s="2" t="n">
        <f>HYPERLINK("https://image-ppubs.uspto.gov/dirsearch-public/print/downloadPdf/8644206","USPTO PDF")</f>
        <v>0.0</v>
      </c>
      <c r="K367" s="2" t="n">
        <f>HYPERLINK("https://sectors.patentforecast.com/pmd/US8644206","PMD")</f>
        <v>0.0</v>
      </c>
      <c r="L367" s="2" t="n">
        <f>HYPERLINK("https://globaldossier.uspto.gov/result/patent/US/8644206/1","US8644206")</f>
        <v>0.0</v>
      </c>
      <c r="M367" t="s">
        <v>2167</v>
      </c>
      <c r="N367" t="s">
        <v>901</v>
      </c>
      <c r="O367" t="s">
        <v>902</v>
      </c>
      <c r="P367" t="s">
        <v>2080</v>
      </c>
      <c r="Q367" s="3" t="n">
        <v>39351.0</v>
      </c>
      <c r="R367" s="3" t="n">
        <v>41674.0</v>
      </c>
      <c r="S367" s="3" t="n">
        <v>43787.42582034722</v>
      </c>
      <c r="T367" s="3" t="n">
        <v>43789.4141415625</v>
      </c>
      <c r="U367" t="s">
        <v>2081</v>
      </c>
      <c r="V367" t="s">
        <v>2168</v>
      </c>
    </row>
    <row r="368">
      <c r="A368" t="s">
        <v>1929</v>
      </c>
      <c r="B368" t="s">
        <v>2169</v>
      </c>
      <c r="C368" t="s">
        <v>168</v>
      </c>
      <c r="D368" t="s">
        <v>168</v>
      </c>
      <c r="E368" t="s">
        <v>2170</v>
      </c>
      <c r="F368" s="2" t="n">
        <f>HYPERLINK("https://patents.google.com/patent/US8638011","Google")</f>
        <v>0.0</v>
      </c>
      <c r="G368" s="2" t="n">
        <f>HYPERLINK("https://patentcenter.uspto.gov/applications/12816080","Patent Center")</f>
        <v>0.0</v>
      </c>
      <c r="H368" s="2" t="n">
        <f>HYPERLINK("https://worldwide.espacenet.com/patent/search?q=US8638011","Espacenet")</f>
        <v>0.0</v>
      </c>
      <c r="I368" s="2" t="n">
        <f>HYPERLINK("https://ppubs.uspto.gov/pubwebapp/external.html?q=8638011.pn.","USPTO")</f>
        <v>0.0</v>
      </c>
      <c r="J368" s="2" t="n">
        <f>HYPERLINK("https://image-ppubs.uspto.gov/dirsearch-public/print/downloadPdf/8638011","USPTO PDF")</f>
        <v>0.0</v>
      </c>
      <c r="K368" s="2" t="n">
        <f>HYPERLINK("https://sectors.patentforecast.com/pmd/US8638011","PMD")</f>
        <v>0.0</v>
      </c>
      <c r="L368" s="2" t="n">
        <f>HYPERLINK("https://globaldossier.uspto.gov/result/patent/US/8638011/1","US8638011")</f>
        <v>0.0</v>
      </c>
      <c r="M368" t="s">
        <v>1644</v>
      </c>
      <c r="N368" t="s">
        <v>1200</v>
      </c>
      <c r="O368" t="s">
        <v>1201</v>
      </c>
      <c r="P368" t="s">
        <v>2024</v>
      </c>
      <c r="Q368" s="3" t="n">
        <v>40344.0</v>
      </c>
      <c r="R368" s="3" t="n">
        <v>41667.0</v>
      </c>
      <c r="S368" s="3" t="n">
        <v>43789.47419918981</v>
      </c>
      <c r="T368" s="3" t="n">
        <v>43789.55533190972</v>
      </c>
      <c r="U368" t="s">
        <v>2025</v>
      </c>
      <c r="V368" t="s">
        <v>1203</v>
      </c>
    </row>
    <row r="369">
      <c r="A369" t="s">
        <v>1929</v>
      </c>
      <c r="B369" t="s">
        <v>2171</v>
      </c>
      <c r="C369" t="s">
        <v>168</v>
      </c>
      <c r="D369" t="s">
        <v>168</v>
      </c>
      <c r="E369" t="s">
        <v>2023</v>
      </c>
      <c r="F369" s="2" t="n">
        <f>HYPERLINK("https://patents.google.com/patent/US8633619","Google")</f>
        <v>0.0</v>
      </c>
      <c r="G369" s="2" t="n">
        <f>HYPERLINK("https://patentcenter.uspto.gov/applications/13620086","Patent Center")</f>
        <v>0.0</v>
      </c>
      <c r="H369" s="2" t="n">
        <f>HYPERLINK("https://worldwide.espacenet.com/patent/search?q=US8633619","Espacenet")</f>
        <v>0.0</v>
      </c>
      <c r="I369" s="2" t="n">
        <f>HYPERLINK("https://ppubs.uspto.gov/pubwebapp/external.html?q=8633619.pn.","USPTO")</f>
        <v>0.0</v>
      </c>
      <c r="J369" s="2" t="n">
        <f>HYPERLINK("https://image-ppubs.uspto.gov/dirsearch-public/print/downloadPdf/8633619","USPTO PDF")</f>
        <v>0.0</v>
      </c>
      <c r="K369" s="2" t="n">
        <f>HYPERLINK("https://sectors.patentforecast.com/pmd/US8633619","PMD")</f>
        <v>0.0</v>
      </c>
      <c r="L369" s="2" t="n">
        <f>HYPERLINK("https://globaldossier.uspto.gov/result/patent/US/8633619/1","US8633619")</f>
        <v>0.0</v>
      </c>
      <c r="M369" t="s">
        <v>1470</v>
      </c>
      <c r="N369" t="s">
        <v>1200</v>
      </c>
      <c r="O369" t="s">
        <v>1201</v>
      </c>
      <c r="P369" t="s">
        <v>2172</v>
      </c>
      <c r="Q369" s="3" t="n">
        <v>41166.0</v>
      </c>
      <c r="R369" s="3" t="n">
        <v>41660.0</v>
      </c>
      <c r="S369" s="3" t="n">
        <v>43789.47419918981</v>
      </c>
      <c r="T369" s="3" t="n">
        <v>43789.56603515046</v>
      </c>
      <c r="U369" t="s">
        <v>2025</v>
      </c>
      <c r="V369" t="s">
        <v>1203</v>
      </c>
    </row>
    <row r="370">
      <c r="A370" t="s">
        <v>1929</v>
      </c>
      <c r="B370" t="s">
        <v>2173</v>
      </c>
      <c r="C370" t="s">
        <v>168</v>
      </c>
      <c r="D370" t="s">
        <v>168</v>
      </c>
      <c r="E370" t="s">
        <v>2174</v>
      </c>
      <c r="F370" s="2" t="n">
        <f>HYPERLINK("https://patents.google.com/patent/US8629654","Google")</f>
        <v>0.0</v>
      </c>
      <c r="G370" s="2" t="n">
        <f>HYPERLINK("https://patentcenter.uspto.gov/applications/13442698","Patent Center")</f>
        <v>0.0</v>
      </c>
      <c r="H370" s="2" t="n">
        <f>HYPERLINK("https://worldwide.espacenet.com/patent/search?q=US8629654","Espacenet")</f>
        <v>0.0</v>
      </c>
      <c r="I370" s="2" t="n">
        <f>HYPERLINK("https://ppubs.uspto.gov/pubwebapp/external.html?q=8629654.pn.","USPTO")</f>
        <v>0.0</v>
      </c>
      <c r="J370" s="2" t="n">
        <f>HYPERLINK("https://image-ppubs.uspto.gov/dirsearch-public/print/downloadPdf/8629654","USPTO PDF")</f>
        <v>0.0</v>
      </c>
      <c r="K370" s="2" t="n">
        <f>HYPERLINK("https://sectors.patentforecast.com/pmd/US8629654","PMD")</f>
        <v>0.0</v>
      </c>
      <c r="L370" s="2" t="n">
        <f>HYPERLINK("https://globaldossier.uspto.gov/result/patent/US/8629654/1","US8629654")</f>
        <v>0.0</v>
      </c>
      <c r="M370" t="s">
        <v>1555</v>
      </c>
      <c r="N370" t="s">
        <v>345</v>
      </c>
      <c r="O370" t="s">
        <v>346</v>
      </c>
      <c r="P370" t="s">
        <v>1977</v>
      </c>
      <c r="Q370" s="3" t="n">
        <v>41008.0</v>
      </c>
      <c r="R370" s="3" t="n">
        <v>41653.0</v>
      </c>
      <c r="S370" s="3" t="n">
        <v>43789.47419918981</v>
      </c>
      <c r="T370" s="3" t="n">
        <v>43790.38110613426</v>
      </c>
      <c r="U370" t="s">
        <v>2098</v>
      </c>
      <c r="V370" t="s">
        <v>1558</v>
      </c>
    </row>
    <row r="371">
      <c r="A371" t="s">
        <v>1929</v>
      </c>
      <c r="B371" t="s">
        <v>2175</v>
      </c>
      <c r="C371" t="s">
        <v>24</v>
      </c>
      <c r="D371" t="s">
        <v>25</v>
      </c>
      <c r="E371" t="s">
        <v>2176</v>
      </c>
      <c r="F371" s="2" t="n">
        <f>HYPERLINK("https://patents.google.com/patent/US8599016","Google")</f>
        <v>0.0</v>
      </c>
      <c r="G371" s="2" t="n">
        <f>HYPERLINK("https://patentcenter.uspto.gov/applications/13209816","Patent Center")</f>
        <v>0.0</v>
      </c>
      <c r="H371" s="2" t="n">
        <f>HYPERLINK("https://worldwide.espacenet.com/patent/search?q=US8599016","Espacenet")</f>
        <v>0.0</v>
      </c>
      <c r="I371" s="2" t="n">
        <f>HYPERLINK("https://ppubs.uspto.gov/pubwebapp/external.html?q=8599016.pn.","USPTO")</f>
        <v>0.0</v>
      </c>
      <c r="J371" s="2" t="n">
        <f>HYPERLINK("https://image-ppubs.uspto.gov/dirsearch-public/print/downloadPdf/8599016","USPTO PDF")</f>
        <v>0.0</v>
      </c>
      <c r="K371" s="2" t="n">
        <f>HYPERLINK("https://sectors.patentforecast.com/pmd/US8599016","PMD")</f>
        <v>0.0</v>
      </c>
      <c r="L371" s="2" t="n">
        <f>HYPERLINK("https://globaldossier.uspto.gov/result/patent/US/8599016/1","US8599016")</f>
        <v>0.0</v>
      </c>
      <c r="M371" t="s">
        <v>2177</v>
      </c>
      <c r="N371" t="s">
        <v>2178</v>
      </c>
      <c r="O371" t="s">
        <v>2179</v>
      </c>
      <c r="P371" t="s">
        <v>2180</v>
      </c>
      <c r="Q371" s="3" t="n">
        <v>40770.0</v>
      </c>
      <c r="R371" s="3" t="n">
        <v>41611.0</v>
      </c>
      <c r="S371" s="3" t="n">
        <v>43803.01532363426</v>
      </c>
      <c r="T371" s="3" t="n">
        <v>43803.391287060185</v>
      </c>
      <c r="U371" t="s">
        <v>2181</v>
      </c>
      <c r="V371" t="s">
        <v>2182</v>
      </c>
    </row>
    <row r="372">
      <c r="A372" t="s">
        <v>1929</v>
      </c>
      <c r="B372" t="s">
        <v>2183</v>
      </c>
      <c r="C372" t="s">
        <v>52</v>
      </c>
      <c r="D372" t="s">
        <v>52</v>
      </c>
      <c r="E372" t="s">
        <v>2184</v>
      </c>
      <c r="F372" s="2" t="n">
        <f>HYPERLINK("https://patents.google.com/patent/US8594700","Google")</f>
        <v>0.0</v>
      </c>
      <c r="G372" s="2" t="n">
        <f>HYPERLINK("https://patentcenter.uspto.gov/applications/13577264","Patent Center")</f>
        <v>0.0</v>
      </c>
      <c r="H372" s="2" t="n">
        <f>HYPERLINK("https://worldwide.espacenet.com/patent/search?q=US8594700","Espacenet")</f>
        <v>0.0</v>
      </c>
      <c r="I372" s="2" t="n">
        <f>HYPERLINK("https://ppubs.uspto.gov/pubwebapp/external.html?q=8594700.pn.","USPTO")</f>
        <v>0.0</v>
      </c>
      <c r="J372" s="2" t="n">
        <f>HYPERLINK("https://image-ppubs.uspto.gov/dirsearch-public/print/downloadPdf/8594700","USPTO PDF")</f>
        <v>0.0</v>
      </c>
      <c r="K372" s="2" t="n">
        <f>HYPERLINK("https://sectors.patentforecast.com/pmd/US8594700","PMD")</f>
        <v>0.0</v>
      </c>
      <c r="L372" s="2" t="n">
        <f>HYPERLINK("https://globaldossier.uspto.gov/result/patent/US/8594700/1","US8594700")</f>
        <v>0.0</v>
      </c>
      <c r="M372" t="s">
        <v>1547</v>
      </c>
      <c r="N372" t="s">
        <v>1548</v>
      </c>
      <c r="O372" t="s">
        <v>1549</v>
      </c>
      <c r="P372" t="s">
        <v>2185</v>
      </c>
      <c r="Q372" s="3" t="n">
        <v>40297.0</v>
      </c>
      <c r="R372" s="3" t="n">
        <v>41604.0</v>
      </c>
      <c r="S372" s="3" t="n">
        <v>43789.56529414352</v>
      </c>
      <c r="T372" s="3" t="n">
        <v>43789.60822015046</v>
      </c>
      <c r="U372" t="s">
        <v>2186</v>
      </c>
      <c r="V372" t="s">
        <v>1552</v>
      </c>
    </row>
    <row r="373">
      <c r="A373" t="s">
        <v>1929</v>
      </c>
      <c r="B373" t="s">
        <v>2187</v>
      </c>
      <c r="C373" t="s">
        <v>61</v>
      </c>
      <c r="D373" t="s">
        <v>61</v>
      </c>
      <c r="E373" t="s">
        <v>2145</v>
      </c>
      <c r="F373" s="2" t="n">
        <f>HYPERLINK("https://patents.google.com/patent/US8578437","Google")</f>
        <v>0.0</v>
      </c>
      <c r="G373" s="2" t="n">
        <f>HYPERLINK("https://patentcenter.uspto.gov/applications/13669064","Patent Center")</f>
        <v>0.0</v>
      </c>
      <c r="H373" s="2" t="n">
        <f>HYPERLINK("https://worldwide.espacenet.com/patent/search?q=US8578437","Espacenet")</f>
        <v>0.0</v>
      </c>
      <c r="I373" s="2" t="n">
        <f>HYPERLINK("https://ppubs.uspto.gov/pubwebapp/external.html?q=8578437.pn.","USPTO")</f>
        <v>0.0</v>
      </c>
      <c r="J373" s="2" t="n">
        <f>HYPERLINK("https://image-ppubs.uspto.gov/dirsearch-public/print/downloadPdf/8578437","USPTO PDF")</f>
        <v>0.0</v>
      </c>
      <c r="K373" s="2" t="n">
        <f>HYPERLINK("https://sectors.patentforecast.com/pmd/US8578437","PMD")</f>
        <v>0.0</v>
      </c>
      <c r="L373" s="2" t="n">
        <f>HYPERLINK("https://globaldossier.uspto.gov/result/patent/US/8578437/1","US8578437")</f>
        <v>0.0</v>
      </c>
      <c r="M373" t="s">
        <v>1523</v>
      </c>
      <c r="N373" t="s">
        <v>1408</v>
      </c>
      <c r="O373" t="s">
        <v>1409</v>
      </c>
      <c r="P373" t="s">
        <v>2122</v>
      </c>
      <c r="Q373" s="3" t="n">
        <v>41218.0</v>
      </c>
      <c r="R373" s="3" t="n">
        <v>41583.0</v>
      </c>
      <c r="S373" s="3" t="n">
        <v>43788.41286247685</v>
      </c>
      <c r="T373" s="3" t="n">
        <v>43789.42588469907</v>
      </c>
      <c r="U373" t="s">
        <v>2037</v>
      </c>
      <c r="V373" t="s">
        <v>1468</v>
      </c>
    </row>
    <row r="374">
      <c r="A374" t="s">
        <v>1929</v>
      </c>
      <c r="B374" t="s">
        <v>2188</v>
      </c>
      <c r="C374" t="s">
        <v>61</v>
      </c>
      <c r="D374" t="s">
        <v>61</v>
      </c>
      <c r="E374" t="s">
        <v>2189</v>
      </c>
      <c r="F374" s="2" t="n">
        <f>HYPERLINK("https://patents.google.com/patent/US8543003","Google")</f>
        <v>0.0</v>
      </c>
      <c r="G374" s="2" t="n">
        <f>HYPERLINK("https://patentcenter.uspto.gov/applications/13669154","Patent Center")</f>
        <v>0.0</v>
      </c>
      <c r="H374" s="2" t="n">
        <f>HYPERLINK("https://worldwide.espacenet.com/patent/search?q=US8543003","Espacenet")</f>
        <v>0.0</v>
      </c>
      <c r="I374" s="2" t="n">
        <f>HYPERLINK("https://ppubs.uspto.gov/pubwebapp/external.html?q=8543003.pn.","USPTO")</f>
        <v>0.0</v>
      </c>
      <c r="J374" s="2" t="n">
        <f>HYPERLINK("https://image-ppubs.uspto.gov/dirsearch-public/print/downloadPdf/8543003","USPTO PDF")</f>
        <v>0.0</v>
      </c>
      <c r="K374" s="2" t="n">
        <f>HYPERLINK("https://sectors.patentforecast.com/pmd/US8543003","PMD")</f>
        <v>0.0</v>
      </c>
      <c r="L374" s="2" t="n">
        <f>HYPERLINK("https://globaldossier.uspto.gov/result/patent/US/8543003/1","US8543003")</f>
        <v>0.0</v>
      </c>
      <c r="M374" t="s">
        <v>1520</v>
      </c>
      <c r="N374" t="s">
        <v>1408</v>
      </c>
      <c r="O374" t="s">
        <v>1409</v>
      </c>
      <c r="P374" t="s">
        <v>2122</v>
      </c>
      <c r="Q374" s="3" t="n">
        <v>41218.0</v>
      </c>
      <c r="R374" s="3" t="n">
        <v>41541.0</v>
      </c>
      <c r="S374" s="3" t="n">
        <v>43788.41286247685</v>
      </c>
      <c r="T374" s="3" t="n">
        <v>43789.42647878472</v>
      </c>
      <c r="U374" t="s">
        <v>2037</v>
      </c>
      <c r="V374" t="s">
        <v>1521</v>
      </c>
    </row>
    <row r="375">
      <c r="A375" t="s">
        <v>1929</v>
      </c>
      <c r="B375" t="s">
        <v>2190</v>
      </c>
      <c r="C375" t="s">
        <v>168</v>
      </c>
      <c r="D375" t="s">
        <v>168</v>
      </c>
      <c r="E375" t="s">
        <v>2191</v>
      </c>
      <c r="F375" s="2" t="n">
        <f>HYPERLINK("https://patents.google.com/patent/US8483749","Google")</f>
        <v>0.0</v>
      </c>
      <c r="G375" s="2" t="n">
        <f>HYPERLINK("https://patentcenter.uspto.gov/applications/13291575","Patent Center")</f>
        <v>0.0</v>
      </c>
      <c r="H375" s="2" t="n">
        <f>HYPERLINK("https://worldwide.espacenet.com/patent/search?q=US8483749","Espacenet")</f>
        <v>0.0</v>
      </c>
      <c r="I375" s="2" t="n">
        <f>HYPERLINK("https://ppubs.uspto.gov/pubwebapp/external.html?q=8483749.pn.","USPTO")</f>
        <v>0.0</v>
      </c>
      <c r="J375" s="2" t="n">
        <f>HYPERLINK("https://image-ppubs.uspto.gov/dirsearch-public/print/downloadPdf/8483749","USPTO PDF")</f>
        <v>0.0</v>
      </c>
      <c r="K375" s="2" t="n">
        <f>HYPERLINK("https://sectors.patentforecast.com/pmd/US8483749","PMD")</f>
        <v>0.0</v>
      </c>
      <c r="L375" s="2" t="n">
        <f>HYPERLINK("https://globaldossier.uspto.gov/result/patent/US/8483749/1","US8483749")</f>
        <v>0.0</v>
      </c>
      <c r="M375" t="s">
        <v>1565</v>
      </c>
      <c r="N375" t="s">
        <v>72</v>
      </c>
      <c r="O375" t="s">
        <v>73</v>
      </c>
      <c r="P375" t="s">
        <v>2192</v>
      </c>
      <c r="Q375" s="3" t="n">
        <v>40855.0</v>
      </c>
      <c r="R375" s="3" t="n">
        <v>41464.0</v>
      </c>
      <c r="S375" s="3" t="n">
        <v>43789.56529414352</v>
      </c>
      <c r="T375" s="3" t="n">
        <v>43789.62379665509</v>
      </c>
      <c r="U375" t="s">
        <v>2193</v>
      </c>
      <c r="V375" t="s">
        <v>1568</v>
      </c>
    </row>
    <row r="376">
      <c r="A376" t="s">
        <v>1929</v>
      </c>
      <c r="B376" t="s">
        <v>2194</v>
      </c>
      <c r="C376" t="s">
        <v>24</v>
      </c>
      <c r="D376" t="s">
        <v>25</v>
      </c>
      <c r="E376" t="s">
        <v>2195</v>
      </c>
      <c r="F376" s="2" t="n">
        <f>HYPERLINK("https://patents.google.com/patent/US8441352","Google")</f>
        <v>0.0</v>
      </c>
      <c r="G376" s="2" t="n">
        <f>HYPERLINK("https://patentcenter.uspto.gov/applications/12709318","Patent Center")</f>
        <v>0.0</v>
      </c>
      <c r="H376" s="2" t="n">
        <f>HYPERLINK("https://worldwide.espacenet.com/patent/search?q=US8441352","Espacenet")</f>
        <v>0.0</v>
      </c>
      <c r="I376" s="2" t="n">
        <f>HYPERLINK("https://ppubs.uspto.gov/pubwebapp/external.html?q=8441352.pn.","USPTO")</f>
        <v>0.0</v>
      </c>
      <c r="J376" s="2" t="n">
        <f>HYPERLINK("https://image-ppubs.uspto.gov/dirsearch-public/print/downloadPdf/8441352","USPTO PDF")</f>
        <v>0.0</v>
      </c>
      <c r="K376" s="2" t="n">
        <f>HYPERLINK("https://sectors.patentforecast.com/pmd/US8441352","PMD")</f>
        <v>0.0</v>
      </c>
      <c r="L376" s="2" t="n">
        <f>HYPERLINK("https://globaldossier.uspto.gov/result/patent/US/8441352/1","US8441352")</f>
        <v>0.0</v>
      </c>
      <c r="M376" t="s">
        <v>1611</v>
      </c>
      <c r="N376" t="s">
        <v>1612</v>
      </c>
      <c r="O376" t="s">
        <v>1613</v>
      </c>
      <c r="P376" t="s">
        <v>2196</v>
      </c>
      <c r="Q376" s="3" t="n">
        <v>40228.0</v>
      </c>
      <c r="R376" s="3" t="n">
        <v>41408.0</v>
      </c>
      <c r="S376" s="3" t="n">
        <v>43789.473272118055</v>
      </c>
      <c r="T376" s="3" t="n">
        <v>43789.47404446759</v>
      </c>
      <c r="U376" t="s">
        <v>2197</v>
      </c>
      <c r="V376" t="s">
        <v>1616</v>
      </c>
    </row>
    <row r="377">
      <c r="A377" t="s">
        <v>1929</v>
      </c>
      <c r="B377" t="s">
        <v>2198</v>
      </c>
      <c r="C377" t="s">
        <v>168</v>
      </c>
      <c r="D377" t="s">
        <v>168</v>
      </c>
      <c r="E377" t="s">
        <v>2199</v>
      </c>
      <c r="F377" s="2" t="n">
        <f>HYPERLINK("https://patents.google.com/patent/US8371442","Google")</f>
        <v>0.0</v>
      </c>
      <c r="G377" s="2" t="n">
        <f>HYPERLINK("https://patentcenter.uspto.gov/applications/12785920","Patent Center")</f>
        <v>0.0</v>
      </c>
      <c r="H377" s="2" t="n">
        <f>HYPERLINK("https://worldwide.espacenet.com/patent/search?q=US8371442","Espacenet")</f>
        <v>0.0</v>
      </c>
      <c r="I377" s="2" t="n">
        <f>HYPERLINK("https://ppubs.uspto.gov/pubwebapp/external.html?q=8371442.pn.","USPTO")</f>
        <v>0.0</v>
      </c>
      <c r="J377" s="2" t="n">
        <f>HYPERLINK("https://image-ppubs.uspto.gov/dirsearch-public/print/downloadPdf/8371442","USPTO PDF")</f>
        <v>0.0</v>
      </c>
      <c r="K377" s="2" t="n">
        <f>HYPERLINK("https://sectors.patentforecast.com/pmd/US8371442","PMD")</f>
        <v>0.0</v>
      </c>
      <c r="L377" s="2" t="n">
        <f>HYPERLINK("https://globaldossier.uspto.gov/result/patent/US/8371442/1","US8371442")</f>
        <v>0.0</v>
      </c>
      <c r="M377" t="s">
        <v>2200</v>
      </c>
      <c r="N377" t="s">
        <v>2201</v>
      </c>
      <c r="O377" t="s">
        <v>2201</v>
      </c>
      <c r="P377" t="s">
        <v>2202</v>
      </c>
      <c r="Q377" s="3" t="n">
        <v>40322.0</v>
      </c>
      <c r="R377" s="3" t="n">
        <v>41317.0</v>
      </c>
      <c r="S377" s="3" t="n">
        <v>43787.479875613426</v>
      </c>
      <c r="T377" s="3" t="n">
        <v>43789.651683206015</v>
      </c>
      <c r="U377" t="s">
        <v>2203</v>
      </c>
      <c r="V377" t="s">
        <v>2204</v>
      </c>
    </row>
    <row r="378">
      <c r="A378" t="s">
        <v>1929</v>
      </c>
      <c r="B378" t="s">
        <v>2205</v>
      </c>
      <c r="C378" t="s">
        <v>24</v>
      </c>
      <c r="D378" t="s">
        <v>25</v>
      </c>
      <c r="E378" t="s">
        <v>1751</v>
      </c>
      <c r="F378" s="2" t="n">
        <f>HYPERLINK("https://patents.google.com/patent/US8369846","Google")</f>
        <v>0.0</v>
      </c>
      <c r="G378" s="2" t="n">
        <f>HYPERLINK("https://patentcenter.uspto.gov/applications/11788562","Patent Center")</f>
        <v>0.0</v>
      </c>
      <c r="H378" s="2" t="n">
        <f>HYPERLINK("https://worldwide.espacenet.com/patent/search?q=US8369846","Espacenet")</f>
        <v>0.0</v>
      </c>
      <c r="I378" s="2" t="n">
        <f>HYPERLINK("https://ppubs.uspto.gov/pubwebapp/external.html?q=8369846.pn.","USPTO")</f>
        <v>0.0</v>
      </c>
      <c r="J378" s="2" t="n">
        <f>HYPERLINK("https://image-ppubs.uspto.gov/dirsearch-public/print/downloadPdf/8369846","USPTO PDF")</f>
        <v>0.0</v>
      </c>
      <c r="K378" s="2" t="n">
        <f>HYPERLINK("https://sectors.patentforecast.com/pmd/US8369846","PMD")</f>
        <v>0.0</v>
      </c>
      <c r="L378" s="2" t="n">
        <f>HYPERLINK("https://globaldossier.uspto.gov/result/patent/US/8369846/1","US8369846")</f>
        <v>0.0</v>
      </c>
      <c r="M378" t="s">
        <v>1757</v>
      </c>
      <c r="N378" t="s">
        <v>901</v>
      </c>
      <c r="O378" t="s">
        <v>902</v>
      </c>
      <c r="P378" t="s">
        <v>2206</v>
      </c>
      <c r="Q378" s="3" t="n">
        <v>39191.0</v>
      </c>
      <c r="R378" s="3" t="n">
        <v>41310.0</v>
      </c>
      <c r="S378" s="3" t="n">
        <v>43789.47432609954</v>
      </c>
      <c r="T378" s="3" t="n">
        <v>43790.371726770834</v>
      </c>
      <c r="U378" t="s">
        <v>2207</v>
      </c>
      <c r="V378" t="s">
        <v>1755</v>
      </c>
    </row>
    <row r="379">
      <c r="A379" t="s">
        <v>1929</v>
      </c>
      <c r="B379" t="s">
        <v>2208</v>
      </c>
      <c r="C379" t="s">
        <v>24</v>
      </c>
      <c r="D379" t="s">
        <v>25</v>
      </c>
      <c r="E379" t="s">
        <v>1751</v>
      </c>
      <c r="F379" s="2" t="n">
        <f>HYPERLINK("https://patents.google.com/patent/US8364139","Google")</f>
        <v>0.0</v>
      </c>
      <c r="G379" s="2" t="n">
        <f>HYPERLINK("https://patentcenter.uspto.gov/applications/11788545","Patent Center")</f>
        <v>0.0</v>
      </c>
      <c r="H379" s="2" t="n">
        <f>HYPERLINK("https://worldwide.espacenet.com/patent/search?q=US8364139","Espacenet")</f>
        <v>0.0</v>
      </c>
      <c r="I379" s="2" t="n">
        <f>HYPERLINK("https://ppubs.uspto.gov/pubwebapp/external.html?q=8364139.pn.","USPTO")</f>
        <v>0.0</v>
      </c>
      <c r="J379" s="2" t="n">
        <f>HYPERLINK("https://image-ppubs.uspto.gov/dirsearch-public/print/downloadPdf/8364139","USPTO PDF")</f>
        <v>0.0</v>
      </c>
      <c r="K379" s="2" t="n">
        <f>HYPERLINK("https://sectors.patentforecast.com/pmd/US8364139","PMD")</f>
        <v>0.0</v>
      </c>
      <c r="L379" s="2" t="n">
        <f>HYPERLINK("https://globaldossier.uspto.gov/result/patent/US/8364139/1","US8364139")</f>
        <v>0.0</v>
      </c>
      <c r="M379" t="s">
        <v>1760</v>
      </c>
      <c r="N379" t="s">
        <v>901</v>
      </c>
      <c r="O379" t="s">
        <v>902</v>
      </c>
      <c r="P379" t="s">
        <v>2206</v>
      </c>
      <c r="Q379" s="3" t="n">
        <v>39191.0</v>
      </c>
      <c r="R379" s="3" t="n">
        <v>41303.0</v>
      </c>
      <c r="S379" s="3" t="n">
        <v>43789.47432609954</v>
      </c>
      <c r="T379" s="3" t="n">
        <v>43790.371726770834</v>
      </c>
      <c r="U379" t="s">
        <v>2209</v>
      </c>
      <c r="V379" t="s">
        <v>1755</v>
      </c>
    </row>
    <row r="380">
      <c r="A380" t="s">
        <v>1929</v>
      </c>
      <c r="B380" t="s">
        <v>2210</v>
      </c>
      <c r="C380" t="s">
        <v>24</v>
      </c>
      <c r="D380" t="s">
        <v>25</v>
      </c>
      <c r="E380" t="s">
        <v>2153</v>
      </c>
      <c r="F380" s="2" t="n">
        <f>HYPERLINK("https://patents.google.com/patent/US8359029","Google")</f>
        <v>0.0</v>
      </c>
      <c r="G380" s="2" t="n">
        <f>HYPERLINK("https://patentcenter.uspto.gov/applications/12946012","Patent Center")</f>
        <v>0.0</v>
      </c>
      <c r="H380" s="2" t="n">
        <f>HYPERLINK("https://worldwide.espacenet.com/patent/search?q=US8359029","Espacenet")</f>
        <v>0.0</v>
      </c>
      <c r="I380" s="2" t="n">
        <f>HYPERLINK("https://ppubs.uspto.gov/pubwebapp/external.html?q=8359029.pn.","USPTO")</f>
        <v>0.0</v>
      </c>
      <c r="J380" s="2" t="n">
        <f>HYPERLINK("https://image-ppubs.uspto.gov/dirsearch-public/print/downloadPdf/8359029","USPTO PDF")</f>
        <v>0.0</v>
      </c>
      <c r="K380" s="2" t="n">
        <f>HYPERLINK("https://sectors.patentforecast.com/pmd/US8359029","PMD")</f>
        <v>0.0</v>
      </c>
      <c r="L380" s="2" t="n">
        <f>HYPERLINK("https://globaldossier.uspto.gov/result/patent/US/8359029/1","US8359029")</f>
        <v>0.0</v>
      </c>
      <c r="M380" t="s">
        <v>2211</v>
      </c>
      <c r="N380" t="s">
        <v>1620</v>
      </c>
      <c r="O380" t="s">
        <v>1621</v>
      </c>
      <c r="P380" t="s">
        <v>2087</v>
      </c>
      <c r="Q380" s="3" t="n">
        <v>40497.0</v>
      </c>
      <c r="R380" s="3" t="n">
        <v>41296.0</v>
      </c>
      <c r="S380" s="3" t="n">
        <v>43790.72998633102</v>
      </c>
      <c r="T380" s="3" t="n">
        <v>43791.58868917824</v>
      </c>
      <c r="U380" t="s">
        <v>2155</v>
      </c>
      <c r="V380" t="s">
        <v>2212</v>
      </c>
    </row>
    <row r="381">
      <c r="A381" t="s">
        <v>1929</v>
      </c>
      <c r="B381" t="s">
        <v>2213</v>
      </c>
      <c r="C381" t="s">
        <v>24</v>
      </c>
      <c r="D381" t="s">
        <v>25</v>
      </c>
      <c r="E381" t="s">
        <v>1751</v>
      </c>
      <c r="F381" s="2" t="n">
        <f>HYPERLINK("https://patents.google.com/patent/US8331987","Google")</f>
        <v>0.0</v>
      </c>
      <c r="G381" s="2" t="n">
        <f>HYPERLINK("https://patentcenter.uspto.gov/applications/11788566","Patent Center")</f>
        <v>0.0</v>
      </c>
      <c r="H381" s="2" t="n">
        <f>HYPERLINK("https://worldwide.espacenet.com/patent/search?q=US8331987","Espacenet")</f>
        <v>0.0</v>
      </c>
      <c r="I381" s="2" t="n">
        <f>HYPERLINK("https://ppubs.uspto.gov/pubwebapp/external.html?q=8331987.pn.","USPTO")</f>
        <v>0.0</v>
      </c>
      <c r="J381" s="2" t="n">
        <f>HYPERLINK("https://image-ppubs.uspto.gov/dirsearch-public/print/downloadPdf/8331987","USPTO PDF")</f>
        <v>0.0</v>
      </c>
      <c r="K381" s="2" t="n">
        <f>HYPERLINK("https://sectors.patentforecast.com/pmd/US8331987","PMD")</f>
        <v>0.0</v>
      </c>
      <c r="L381" s="2" t="n">
        <f>HYPERLINK("https://globaldossier.uspto.gov/result/patent/US/8331987/1","US8331987")</f>
        <v>0.0</v>
      </c>
      <c r="M381" t="s">
        <v>1752</v>
      </c>
      <c r="N381" t="s">
        <v>901</v>
      </c>
      <c r="O381" t="s">
        <v>902</v>
      </c>
      <c r="P381" t="s">
        <v>2206</v>
      </c>
      <c r="Q381" s="3" t="n">
        <v>39191.0</v>
      </c>
      <c r="R381" s="3" t="n">
        <v>41254.0</v>
      </c>
      <c r="S381" s="3" t="n">
        <v>43789.47432609954</v>
      </c>
      <c r="T381" s="3" t="n">
        <v>43790.371726770834</v>
      </c>
      <c r="U381" t="s">
        <v>2214</v>
      </c>
      <c r="V381" t="s">
        <v>1755</v>
      </c>
    </row>
    <row r="382">
      <c r="A382" t="s">
        <v>1929</v>
      </c>
      <c r="B382" t="s">
        <v>2215</v>
      </c>
      <c r="C382" t="s">
        <v>24</v>
      </c>
      <c r="D382" t="s">
        <v>25</v>
      </c>
      <c r="E382" t="s">
        <v>2086</v>
      </c>
      <c r="F382" s="2" t="n">
        <f>HYPERLINK("https://patents.google.com/patent/US8310990","Google")</f>
        <v>0.0</v>
      </c>
      <c r="G382" s="2" t="n">
        <f>HYPERLINK("https://patentcenter.uspto.gov/applications/12942642","Patent Center")</f>
        <v>0.0</v>
      </c>
      <c r="H382" s="2" t="n">
        <f>HYPERLINK("https://worldwide.espacenet.com/patent/search?q=US8310990","Espacenet")</f>
        <v>0.0</v>
      </c>
      <c r="I382" s="2" t="n">
        <f>HYPERLINK("https://ppubs.uspto.gov/pubwebapp/external.html?q=8310990.pn.","USPTO")</f>
        <v>0.0</v>
      </c>
      <c r="J382" s="2" t="n">
        <f>HYPERLINK("https://image-ppubs.uspto.gov/dirsearch-public/print/downloadPdf/8310990","USPTO PDF")</f>
        <v>0.0</v>
      </c>
      <c r="K382" s="2" t="n">
        <f>HYPERLINK("https://sectors.patentforecast.com/pmd/US8310990","PMD")</f>
        <v>0.0</v>
      </c>
      <c r="L382" s="2" t="n">
        <f>HYPERLINK("https://globaldossier.uspto.gov/result/patent/US/8310990/1","US8310990")</f>
        <v>0.0</v>
      </c>
      <c r="M382" t="s">
        <v>1619</v>
      </c>
      <c r="N382" t="s">
        <v>1620</v>
      </c>
      <c r="O382" t="s">
        <v>1621</v>
      </c>
      <c r="P382" t="s">
        <v>2087</v>
      </c>
      <c r="Q382" s="3" t="n">
        <v>40491.0</v>
      </c>
      <c r="R382" s="3" t="n">
        <v>41226.0</v>
      </c>
      <c r="S382" s="3" t="n">
        <v>43790.72998633102</v>
      </c>
      <c r="T382" s="3" t="n">
        <v>43791.58868917824</v>
      </c>
      <c r="U382" t="s">
        <v>2088</v>
      </c>
      <c r="V382" t="s">
        <v>1622</v>
      </c>
    </row>
    <row r="383">
      <c r="A383" t="s">
        <v>1929</v>
      </c>
      <c r="B383" t="s">
        <v>2216</v>
      </c>
      <c r="C383" t="s">
        <v>24</v>
      </c>
      <c r="D383" t="s">
        <v>25</v>
      </c>
      <c r="E383" t="s">
        <v>1689</v>
      </c>
      <c r="F383" s="2" t="n">
        <f>HYPERLINK("https://patents.google.com/patent/US8295273","Google")</f>
        <v>0.0</v>
      </c>
      <c r="G383" s="2" t="n">
        <f>HYPERLINK("https://patentcenter.uspto.gov/applications/12591234","Patent Center")</f>
        <v>0.0</v>
      </c>
      <c r="H383" s="2" t="n">
        <f>HYPERLINK("https://worldwide.espacenet.com/patent/search?q=US8295273","Espacenet")</f>
        <v>0.0</v>
      </c>
      <c r="I383" s="2" t="n">
        <f>HYPERLINK("https://ppubs.uspto.gov/pubwebapp/external.html?q=8295273.pn.","USPTO")</f>
        <v>0.0</v>
      </c>
      <c r="J383" s="2" t="n">
        <f>HYPERLINK("https://image-ppubs.uspto.gov/dirsearch-public/print/downloadPdf/8295273","USPTO PDF")</f>
        <v>0.0</v>
      </c>
      <c r="K383" s="2" t="n">
        <f>HYPERLINK("https://sectors.patentforecast.com/pmd/US8295273","PMD")</f>
        <v>0.0</v>
      </c>
      <c r="L383" s="2" t="n">
        <f>HYPERLINK("https://globaldossier.uspto.gov/result/patent/US/8295273/1","US8295273")</f>
        <v>0.0</v>
      </c>
      <c r="M383" t="s">
        <v>1690</v>
      </c>
      <c r="N383" t="s">
        <v>1275</v>
      </c>
      <c r="O383" t="s">
        <v>1275</v>
      </c>
      <c r="P383" t="s">
        <v>2217</v>
      </c>
      <c r="Q383" s="3" t="n">
        <v>40130.0</v>
      </c>
      <c r="R383" s="3" t="n">
        <v>41205.0</v>
      </c>
      <c r="S383" s="3" t="n">
        <v>43791.50672724537</v>
      </c>
      <c r="T383" s="3" t="n">
        <v>43791.52660305556</v>
      </c>
      <c r="U383" t="s">
        <v>2116</v>
      </c>
      <c r="V383" t="s">
        <v>1349</v>
      </c>
    </row>
    <row r="384">
      <c r="A384" t="s">
        <v>1929</v>
      </c>
      <c r="B384" t="s">
        <v>2218</v>
      </c>
      <c r="C384" t="s">
        <v>168</v>
      </c>
      <c r="D384" t="s">
        <v>168</v>
      </c>
      <c r="E384" t="s">
        <v>1829</v>
      </c>
      <c r="F384" s="2" t="n">
        <f>HYPERLINK("https://patents.google.com/patent/US8270325","Google")</f>
        <v>0.0</v>
      </c>
      <c r="G384" s="2" t="n">
        <f>HYPERLINK("https://patentcenter.uspto.gov/applications/12907885","Patent Center")</f>
        <v>0.0</v>
      </c>
      <c r="H384" s="2" t="n">
        <f>HYPERLINK("https://worldwide.espacenet.com/patent/search?q=US8270325","Espacenet")</f>
        <v>0.0</v>
      </c>
      <c r="I384" s="2" t="n">
        <f>HYPERLINK("https://ppubs.uspto.gov/pubwebapp/external.html?q=8270325.pn.","USPTO")</f>
        <v>0.0</v>
      </c>
      <c r="J384" s="2" t="n">
        <f>HYPERLINK("https://image-ppubs.uspto.gov/dirsearch-public/print/downloadPdf/8270325","USPTO PDF")</f>
        <v>0.0</v>
      </c>
      <c r="K384" s="2" t="n">
        <f>HYPERLINK("https://sectors.patentforecast.com/pmd/US8270325","PMD")</f>
        <v>0.0</v>
      </c>
      <c r="L384" s="2" t="n">
        <f>HYPERLINK("https://globaldossier.uspto.gov/result/patent/US/8270325/1","US8270325")</f>
        <v>0.0</v>
      </c>
      <c r="M384" t="s">
        <v>1606</v>
      </c>
      <c r="N384" t="s">
        <v>1505</v>
      </c>
      <c r="O384" t="s">
        <v>1506</v>
      </c>
      <c r="P384" t="s">
        <v>2219</v>
      </c>
      <c r="Q384" s="3" t="n">
        <v>40470.0</v>
      </c>
      <c r="R384" s="3" t="n">
        <v>41170.0</v>
      </c>
      <c r="S384" s="3" t="n">
        <v>43791.29307018519</v>
      </c>
      <c r="T384" s="3" t="n">
        <v>43791.47145420139</v>
      </c>
      <c r="U384" t="s">
        <v>2163</v>
      </c>
      <c r="V384" t="s">
        <v>2220</v>
      </c>
    </row>
    <row r="385">
      <c r="A385" t="s">
        <v>1929</v>
      </c>
      <c r="B385" t="s">
        <v>2221</v>
      </c>
      <c r="C385" t="s">
        <v>24</v>
      </c>
      <c r="D385" t="s">
        <v>25</v>
      </c>
      <c r="E385" t="s">
        <v>2222</v>
      </c>
      <c r="F385" s="2" t="n">
        <f>HYPERLINK("https://patents.google.com/patent/US8253638","Google")</f>
        <v>0.0</v>
      </c>
      <c r="G385" s="2" t="n">
        <f>HYPERLINK("https://patentcenter.uspto.gov/applications/12787962","Patent Center")</f>
        <v>0.0</v>
      </c>
      <c r="H385" s="2" t="n">
        <f>HYPERLINK("https://worldwide.espacenet.com/patent/search?q=US8253638","Espacenet")</f>
        <v>0.0</v>
      </c>
      <c r="I385" s="2" t="n">
        <f>HYPERLINK("https://ppubs.uspto.gov/pubwebapp/external.html?q=8253638.pn.","USPTO")</f>
        <v>0.0</v>
      </c>
      <c r="J385" s="2" t="n">
        <f>HYPERLINK("https://image-ppubs.uspto.gov/dirsearch-public/print/downloadPdf/8253638","USPTO PDF")</f>
        <v>0.0</v>
      </c>
      <c r="K385" s="2" t="n">
        <f>HYPERLINK("https://sectors.patentforecast.com/pmd/US8253638","PMD")</f>
        <v>0.0</v>
      </c>
      <c r="L385" s="2" t="n">
        <f>HYPERLINK("https://globaldossier.uspto.gov/result/patent/US/8253638/1","US8253638")</f>
        <v>0.0</v>
      </c>
      <c r="M385" t="s">
        <v>1599</v>
      </c>
      <c r="N385" t="s">
        <v>1600</v>
      </c>
      <c r="O385" t="s">
        <v>1600</v>
      </c>
      <c r="P385" t="s">
        <v>2223</v>
      </c>
      <c r="Q385" s="3" t="n">
        <v>40324.0</v>
      </c>
      <c r="R385" s="3" t="n">
        <v>41149.0</v>
      </c>
      <c r="S385" s="3" t="n">
        <v>43788.41286247685</v>
      </c>
      <c r="T385" s="3" t="n">
        <v>43789.446420011576</v>
      </c>
      <c r="U385" t="s">
        <v>2224</v>
      </c>
      <c r="V385" t="s">
        <v>1603</v>
      </c>
    </row>
    <row r="386">
      <c r="A386" t="s">
        <v>1929</v>
      </c>
      <c r="B386" t="s">
        <v>2225</v>
      </c>
      <c r="C386" t="s">
        <v>24</v>
      </c>
      <c r="D386" t="s">
        <v>25</v>
      </c>
      <c r="E386" t="s">
        <v>2226</v>
      </c>
      <c r="F386" s="2" t="n">
        <f>HYPERLINK("https://patents.google.com/patent/US8221324","Google")</f>
        <v>0.0</v>
      </c>
      <c r="G386" s="2" t="n">
        <f>HYPERLINK("https://patentcenter.uspto.gov/applications/12299540","Patent Center")</f>
        <v>0.0</v>
      </c>
      <c r="H386" s="2" t="n">
        <f>HYPERLINK("https://worldwide.espacenet.com/patent/search?q=US8221324","Espacenet")</f>
        <v>0.0</v>
      </c>
      <c r="I386" s="2" t="n">
        <f>HYPERLINK("https://ppubs.uspto.gov/pubwebapp/external.html?q=8221324.pn.","USPTO")</f>
        <v>0.0</v>
      </c>
      <c r="J386" s="2" t="n">
        <f>HYPERLINK("https://image-ppubs.uspto.gov/dirsearch-public/print/downloadPdf/8221324","USPTO PDF")</f>
        <v>0.0</v>
      </c>
      <c r="K386" s="2" t="n">
        <f>HYPERLINK("https://sectors.patentforecast.com/pmd/US8221324","PMD")</f>
        <v>0.0</v>
      </c>
      <c r="L386" s="2" t="n">
        <f>HYPERLINK("https://globaldossier.uspto.gov/result/patent/US/8221324/1","US8221324")</f>
        <v>0.0</v>
      </c>
      <c r="M386" t="s">
        <v>1694</v>
      </c>
      <c r="N386" t="s">
        <v>1695</v>
      </c>
      <c r="O386" t="s">
        <v>1695</v>
      </c>
      <c r="P386" t="s">
        <v>2227</v>
      </c>
      <c r="Q386" s="3" t="n">
        <v>39206.0</v>
      </c>
      <c r="R386" s="3" t="n">
        <v>41107.0</v>
      </c>
      <c r="S386" s="3" t="n">
        <v>43789.474087546296</v>
      </c>
      <c r="T386" s="3" t="n">
        <v>43790.37540131944</v>
      </c>
      <c r="U386" t="s">
        <v>2228</v>
      </c>
      <c r="V386" t="s">
        <v>1698</v>
      </c>
    </row>
    <row r="387">
      <c r="A387" t="s">
        <v>1929</v>
      </c>
      <c r="B387" t="s">
        <v>2229</v>
      </c>
      <c r="C387" t="s">
        <v>24</v>
      </c>
      <c r="D387" t="s">
        <v>25</v>
      </c>
      <c r="E387" t="s">
        <v>1867</v>
      </c>
      <c r="F387" s="2" t="n">
        <f>HYPERLINK("https://patents.google.com/patent/US8209750","Google")</f>
        <v>0.0</v>
      </c>
      <c r="G387" s="2" t="n">
        <f>HYPERLINK("https://patentcenter.uspto.gov/applications/12662477","Patent Center")</f>
        <v>0.0</v>
      </c>
      <c r="H387" s="2" t="n">
        <f>HYPERLINK("https://worldwide.espacenet.com/patent/search?q=US8209750","Espacenet")</f>
        <v>0.0</v>
      </c>
      <c r="I387" s="2" t="n">
        <f>HYPERLINK("https://ppubs.uspto.gov/pubwebapp/external.html?q=8209750.pn.","USPTO")</f>
        <v>0.0</v>
      </c>
      <c r="J387" s="2" t="n">
        <f>HYPERLINK("https://image-ppubs.uspto.gov/dirsearch-public/print/downloadPdf/8209750","USPTO PDF")</f>
        <v>0.0</v>
      </c>
      <c r="K387" s="2" t="n">
        <f>HYPERLINK("https://sectors.patentforecast.com/pmd/US8209750","PMD")</f>
        <v>0.0</v>
      </c>
      <c r="L387" s="2" t="n">
        <f>HYPERLINK("https://globaldossier.uspto.gov/result/patent/US/8209750/1","US8209750")</f>
        <v>0.0</v>
      </c>
      <c r="M387" t="s">
        <v>2230</v>
      </c>
      <c r="N387" t="s">
        <v>1275</v>
      </c>
      <c r="O387" t="s">
        <v>1275</v>
      </c>
      <c r="P387" t="s">
        <v>2231</v>
      </c>
      <c r="Q387" s="3" t="n">
        <v>40288.0</v>
      </c>
      <c r="R387" s="3" t="n">
        <v>41086.0</v>
      </c>
      <c r="S387" s="3" t="n">
        <v>43791.50672724537</v>
      </c>
      <c r="T387" s="3" t="n">
        <v>43791.524345729165</v>
      </c>
      <c r="U387" t="s">
        <v>2232</v>
      </c>
      <c r="V387" t="s">
        <v>1871</v>
      </c>
    </row>
    <row r="388">
      <c r="A388" t="s">
        <v>1929</v>
      </c>
      <c r="B388" t="s">
        <v>2233</v>
      </c>
      <c r="C388" t="s">
        <v>168</v>
      </c>
      <c r="D388" t="s">
        <v>168</v>
      </c>
      <c r="E388" t="s">
        <v>2174</v>
      </c>
      <c r="F388" s="2" t="n">
        <f>HYPERLINK("https://patents.google.com/patent/US8169185","Google")</f>
        <v>0.0</v>
      </c>
      <c r="G388" s="2" t="n">
        <f>HYPERLINK("https://patentcenter.uspto.gov/applications/12116876","Patent Center")</f>
        <v>0.0</v>
      </c>
      <c r="H388" s="2" t="n">
        <f>HYPERLINK("https://worldwide.espacenet.com/patent/search?q=US8169185","Espacenet")</f>
        <v>0.0</v>
      </c>
      <c r="I388" s="2" t="n">
        <f>HYPERLINK("https://ppubs.uspto.gov/pubwebapp/external.html?q=8169185.pn.","USPTO")</f>
        <v>0.0</v>
      </c>
      <c r="J388" s="2" t="n">
        <f>HYPERLINK("https://image-ppubs.uspto.gov/dirsearch-public/print/downloadPdf/8169185","USPTO PDF")</f>
        <v>0.0</v>
      </c>
      <c r="K388" s="2" t="n">
        <f>HYPERLINK("https://sectors.patentforecast.com/pmd/US8169185","PMD")</f>
        <v>0.0</v>
      </c>
      <c r="L388" s="2" t="n">
        <f>HYPERLINK("https://globaldossier.uspto.gov/result/patent/US/8169185/1","US8169185")</f>
        <v>0.0</v>
      </c>
      <c r="M388" t="s">
        <v>1730</v>
      </c>
      <c r="N388" t="s">
        <v>345</v>
      </c>
      <c r="O388" t="s">
        <v>346</v>
      </c>
      <c r="P388" t="s">
        <v>1977</v>
      </c>
      <c r="Q388" s="3" t="n">
        <v>39575.0</v>
      </c>
      <c r="R388" s="3" t="n">
        <v>41030.0</v>
      </c>
      <c r="S388" s="3" t="n">
        <v>43789.47398376157</v>
      </c>
      <c r="T388" s="3" t="n">
        <v>43790.38110613426</v>
      </c>
      <c r="U388" t="s">
        <v>2098</v>
      </c>
      <c r="V388" t="s">
        <v>1731</v>
      </c>
    </row>
    <row r="389">
      <c r="A389" t="s">
        <v>1929</v>
      </c>
      <c r="B389" t="s">
        <v>2234</v>
      </c>
      <c r="C389" t="s">
        <v>24</v>
      </c>
      <c r="D389" t="s">
        <v>25</v>
      </c>
      <c r="E389" t="s">
        <v>1744</v>
      </c>
      <c r="F389" s="2" t="n">
        <f>HYPERLINK("https://patents.google.com/patent/US8126442","Google")</f>
        <v>0.0</v>
      </c>
      <c r="G389" s="2" t="n">
        <f>HYPERLINK("https://patentcenter.uspto.gov/applications/11806516","Patent Center")</f>
        <v>0.0</v>
      </c>
      <c r="H389" s="2" t="n">
        <f>HYPERLINK("https://worldwide.espacenet.com/patent/search?q=US8126442","Espacenet")</f>
        <v>0.0</v>
      </c>
      <c r="I389" s="2" t="n">
        <f>HYPERLINK("https://ppubs.uspto.gov/pubwebapp/external.html?q=8126442.pn.","USPTO")</f>
        <v>0.0</v>
      </c>
      <c r="J389" s="2" t="n">
        <f>HYPERLINK("https://image-ppubs.uspto.gov/dirsearch-public/print/downloadPdf/8126442","USPTO PDF")</f>
        <v>0.0</v>
      </c>
      <c r="K389" s="2" t="n">
        <f>HYPERLINK("https://sectors.patentforecast.com/pmd/US8126442","PMD")</f>
        <v>0.0</v>
      </c>
      <c r="L389" s="2" t="n">
        <f>HYPERLINK("https://globaldossier.uspto.gov/result/patent/US/8126442/1","US8126442")</f>
        <v>0.0</v>
      </c>
      <c r="M389" t="s">
        <v>1745</v>
      </c>
      <c r="N389" t="s">
        <v>1746</v>
      </c>
      <c r="O389" t="s">
        <v>1746</v>
      </c>
      <c r="P389" t="s">
        <v>2235</v>
      </c>
      <c r="Q389" s="3" t="n">
        <v>39233.0</v>
      </c>
      <c r="R389" s="3" t="n">
        <v>40967.0</v>
      </c>
      <c r="S389" s="3" t="n">
        <v>43791.509273020834</v>
      </c>
      <c r="T389" s="3" t="n">
        <v>43791.515484675925</v>
      </c>
      <c r="U389" t="s">
        <v>2236</v>
      </c>
      <c r="V389" t="s">
        <v>1749</v>
      </c>
    </row>
    <row r="390">
      <c r="A390" t="s">
        <v>1929</v>
      </c>
      <c r="B390" t="s">
        <v>2237</v>
      </c>
      <c r="C390" t="s">
        <v>24</v>
      </c>
      <c r="D390" t="s">
        <v>25</v>
      </c>
      <c r="E390" t="s">
        <v>1706</v>
      </c>
      <c r="F390" s="2" t="n">
        <f>HYPERLINK("https://patents.google.com/patent/US8102793","Google")</f>
        <v>0.0</v>
      </c>
      <c r="G390" s="2" t="n">
        <f>HYPERLINK("https://patentcenter.uspto.gov/applications/12150376","Patent Center")</f>
        <v>0.0</v>
      </c>
      <c r="H390" s="2" t="n">
        <f>HYPERLINK("https://worldwide.espacenet.com/patent/search?q=US8102793","Espacenet")</f>
        <v>0.0</v>
      </c>
      <c r="I390" s="2" t="n">
        <f>HYPERLINK("https://ppubs.uspto.gov/pubwebapp/external.html?q=8102793.pn.","USPTO")</f>
        <v>0.0</v>
      </c>
      <c r="J390" s="2" t="n">
        <f>HYPERLINK("https://image-ppubs.uspto.gov/dirsearch-public/print/downloadPdf/8102793","USPTO PDF")</f>
        <v>0.0</v>
      </c>
      <c r="K390" s="2" t="n">
        <f>HYPERLINK("https://sectors.patentforecast.com/pmd/US8102793","PMD")</f>
        <v>0.0</v>
      </c>
      <c r="L390" s="2" t="n">
        <f>HYPERLINK("https://globaldossier.uspto.gov/result/patent/US/8102793/1","US8102793")</f>
        <v>0.0</v>
      </c>
      <c r="M390" t="s">
        <v>1707</v>
      </c>
      <c r="N390" t="s">
        <v>1708</v>
      </c>
      <c r="O390" t="s">
        <v>1709</v>
      </c>
      <c r="P390" t="s">
        <v>2238</v>
      </c>
      <c r="Q390" s="3" t="n">
        <v>39566.0</v>
      </c>
      <c r="R390" s="3" t="n">
        <v>40932.0</v>
      </c>
      <c r="S390" s="3" t="n">
        <v>43790.77963866898</v>
      </c>
      <c r="T390" s="3" t="n">
        <v>43791.4773924537</v>
      </c>
      <c r="U390" t="s">
        <v>2239</v>
      </c>
      <c r="V390" t="s">
        <v>1712</v>
      </c>
    </row>
    <row r="391">
      <c r="A391" t="s">
        <v>1929</v>
      </c>
      <c r="B391" t="s">
        <v>2240</v>
      </c>
      <c r="C391" t="s">
        <v>61</v>
      </c>
      <c r="D391" t="s">
        <v>61</v>
      </c>
      <c r="E391" t="s">
        <v>2241</v>
      </c>
      <c r="F391" s="2" t="n">
        <f>HYPERLINK("https://patents.google.com/patent/US8098205","Google")</f>
        <v>0.0</v>
      </c>
      <c r="G391" s="2" t="n">
        <f>HYPERLINK("https://patentcenter.uspto.gov/applications/12435750","Patent Center")</f>
        <v>0.0</v>
      </c>
      <c r="H391" s="2" t="n">
        <f>HYPERLINK("https://worldwide.espacenet.com/patent/search?q=US8098205","Espacenet")</f>
        <v>0.0</v>
      </c>
      <c r="I391" s="2" t="n">
        <f>HYPERLINK("https://ppubs.uspto.gov/pubwebapp/external.html?q=8098205.pn.","USPTO")</f>
        <v>0.0</v>
      </c>
      <c r="J391" s="2" t="n">
        <f>HYPERLINK("https://image-ppubs.uspto.gov/dirsearch-public/print/downloadPdf/8098205","USPTO PDF")</f>
        <v>0.0</v>
      </c>
      <c r="K391" s="2" t="n">
        <f>HYPERLINK("https://sectors.patentforecast.com/pmd/US8098205","PMD")</f>
        <v>0.0</v>
      </c>
      <c r="L391" s="2" t="n">
        <f>HYPERLINK("https://globaldossier.uspto.gov/result/patent/US/8098205/1","US8098205")</f>
        <v>0.0</v>
      </c>
      <c r="M391" t="s">
        <v>1659</v>
      </c>
      <c r="N391" t="s">
        <v>1660</v>
      </c>
      <c r="O391" t="s">
        <v>1661</v>
      </c>
      <c r="P391" t="s">
        <v>2242</v>
      </c>
      <c r="Q391" s="3" t="n">
        <v>39938.0</v>
      </c>
      <c r="R391" s="3" t="n">
        <v>40925.0</v>
      </c>
      <c r="S391" s="3" t="n">
        <v>43805.017991643515</v>
      </c>
      <c r="T391" s="3" t="n">
        <v>43805.40768478009</v>
      </c>
      <c r="U391" t="s">
        <v>2243</v>
      </c>
      <c r="V391" t="s">
        <v>1664</v>
      </c>
    </row>
    <row r="392">
      <c r="A392" t="s">
        <v>1929</v>
      </c>
      <c r="B392" t="s">
        <v>2244</v>
      </c>
      <c r="C392" t="s">
        <v>24</v>
      </c>
      <c r="D392" t="s">
        <v>25</v>
      </c>
      <c r="E392" t="s">
        <v>1702</v>
      </c>
      <c r="F392" s="2" t="n">
        <f>HYPERLINK("https://patents.google.com/patent/US8090941","Google")</f>
        <v>0.0</v>
      </c>
      <c r="G392" s="2" t="n">
        <f>HYPERLINK("https://patentcenter.uspto.gov/applications/12461570","Patent Center")</f>
        <v>0.0</v>
      </c>
      <c r="H392" s="2" t="n">
        <f>HYPERLINK("https://worldwide.espacenet.com/patent/search?q=US8090941","Espacenet")</f>
        <v>0.0</v>
      </c>
      <c r="I392" s="2" t="n">
        <f>HYPERLINK("https://ppubs.uspto.gov/pubwebapp/external.html?q=8090941.pn.","USPTO")</f>
        <v>0.0</v>
      </c>
      <c r="J392" s="2" t="n">
        <f>HYPERLINK("https://image-ppubs.uspto.gov/dirsearch-public/print/downloadPdf/8090941","USPTO PDF")</f>
        <v>0.0</v>
      </c>
      <c r="K392" s="2" t="n">
        <f>HYPERLINK("https://sectors.patentforecast.com/pmd/US8090941","PMD")</f>
        <v>0.0</v>
      </c>
      <c r="L392" s="2" t="n">
        <f>HYPERLINK("https://globaldossier.uspto.gov/result/patent/US/8090941/1","US8090941")</f>
        <v>0.0</v>
      </c>
      <c r="M392" t="s">
        <v>1703</v>
      </c>
      <c r="N392" t="s">
        <v>1275</v>
      </c>
      <c r="O392" t="s">
        <v>1275</v>
      </c>
      <c r="P392" t="s">
        <v>2245</v>
      </c>
      <c r="Q392" s="3" t="n">
        <v>40042.0</v>
      </c>
      <c r="R392" s="3" t="n">
        <v>40911.0</v>
      </c>
      <c r="S392" s="3" t="n">
        <v>43791.50672724537</v>
      </c>
      <c r="T392" s="3" t="n">
        <v>43791.52292998842</v>
      </c>
      <c r="U392" t="s">
        <v>2246</v>
      </c>
      <c r="V392" t="s">
        <v>1582</v>
      </c>
    </row>
    <row r="393">
      <c r="A393" t="s">
        <v>1929</v>
      </c>
      <c r="B393" t="s">
        <v>2247</v>
      </c>
      <c r="C393" t="s">
        <v>24</v>
      </c>
      <c r="D393" t="s">
        <v>25</v>
      </c>
      <c r="E393" t="s">
        <v>2248</v>
      </c>
      <c r="F393" s="2" t="n">
        <f>HYPERLINK("https://patents.google.com/patent/US8086280","Google")</f>
        <v>0.0</v>
      </c>
      <c r="G393" s="2" t="n">
        <f>HYPERLINK("https://patentcenter.uspto.gov/applications/12485118","Patent Center")</f>
        <v>0.0</v>
      </c>
      <c r="H393" s="2" t="n">
        <f>HYPERLINK("https://worldwide.espacenet.com/patent/search?q=US8086280","Espacenet")</f>
        <v>0.0</v>
      </c>
      <c r="I393" s="2" t="n">
        <f>HYPERLINK("https://ppubs.uspto.gov/pubwebapp/external.html?q=8086280.pn.","USPTO")</f>
        <v>0.0</v>
      </c>
      <c r="J393" s="2" t="n">
        <f>HYPERLINK("https://image-ppubs.uspto.gov/dirsearch-public/print/downloadPdf/8086280","USPTO PDF")</f>
        <v>0.0</v>
      </c>
      <c r="K393" s="2" t="n">
        <f>HYPERLINK("https://sectors.patentforecast.com/pmd/US8086280","PMD")</f>
        <v>0.0</v>
      </c>
      <c r="L393" s="2" t="n">
        <f>HYPERLINK("https://globaldossier.uspto.gov/result/patent/US/8086280/1","US8086280")</f>
        <v>0.0</v>
      </c>
      <c r="M393" t="s">
        <v>1676</v>
      </c>
      <c r="N393" t="s">
        <v>1677</v>
      </c>
      <c r="O393" t="s">
        <v>1678</v>
      </c>
      <c r="P393" t="s">
        <v>2249</v>
      </c>
      <c r="Q393" s="3" t="n">
        <v>39980.0</v>
      </c>
      <c r="R393" s="3" t="n">
        <v>40904.0</v>
      </c>
      <c r="S393" s="3" t="n">
        <v>43789.56529414352</v>
      </c>
      <c r="T393" s="3" t="n">
        <v>43789.64188005787</v>
      </c>
      <c r="U393" t="s">
        <v>2250</v>
      </c>
      <c r="V393" t="s">
        <v>1681</v>
      </c>
    </row>
    <row r="394">
      <c r="A394" t="s">
        <v>1929</v>
      </c>
      <c r="B394" t="s">
        <v>2251</v>
      </c>
      <c r="C394" t="s">
        <v>168</v>
      </c>
      <c r="D394" t="s">
        <v>168</v>
      </c>
      <c r="E394" t="s">
        <v>2252</v>
      </c>
      <c r="F394" s="2" t="n">
        <f>HYPERLINK("https://patents.google.com/patent/US8072994","Google")</f>
        <v>0.0</v>
      </c>
      <c r="G394" s="2" t="n">
        <f>HYPERLINK("https://patentcenter.uspto.gov/applications/12514054","Patent Center")</f>
        <v>0.0</v>
      </c>
      <c r="H394" s="2" t="n">
        <f>HYPERLINK("https://worldwide.espacenet.com/patent/search?q=US8072994","Espacenet")</f>
        <v>0.0</v>
      </c>
      <c r="I394" s="2" t="n">
        <f>HYPERLINK("https://ppubs.uspto.gov/pubwebapp/external.html?q=8072994.pn.","USPTO")</f>
        <v>0.0</v>
      </c>
      <c r="J394" s="2" t="n">
        <f>HYPERLINK("https://image-ppubs.uspto.gov/dirsearch-public/print/downloadPdf/8072994","USPTO PDF")</f>
        <v>0.0</v>
      </c>
      <c r="K394" s="2" t="n">
        <f>HYPERLINK("https://sectors.patentforecast.com/pmd/US8072994","PMD")</f>
        <v>0.0</v>
      </c>
      <c r="L394" s="2" t="n">
        <f>HYPERLINK("https://globaldossier.uspto.gov/result/patent/US/8072994/1","US8072994")</f>
        <v>0.0</v>
      </c>
      <c r="M394" t="s">
        <v>1684</v>
      </c>
      <c r="N394" t="s">
        <v>1586</v>
      </c>
      <c r="O394" t="s">
        <v>1587</v>
      </c>
      <c r="P394" t="s">
        <v>2253</v>
      </c>
      <c r="Q394" s="3" t="n">
        <v>39217.0</v>
      </c>
      <c r="R394" s="3" t="n">
        <v>40883.0</v>
      </c>
      <c r="S394" s="3" t="n">
        <v>43790.78658581019</v>
      </c>
      <c r="T394" s="3" t="n">
        <v>43791.47400793982</v>
      </c>
      <c r="U394" t="s">
        <v>2254</v>
      </c>
      <c r="V394" t="s">
        <v>1687</v>
      </c>
    </row>
    <row r="395">
      <c r="A395" t="s">
        <v>1929</v>
      </c>
      <c r="B395" t="s">
        <v>2255</v>
      </c>
      <c r="C395" t="s">
        <v>24</v>
      </c>
      <c r="D395" t="s">
        <v>25</v>
      </c>
      <c r="E395" t="s">
        <v>2256</v>
      </c>
      <c r="F395" s="2" t="n">
        <f>HYPERLINK("https://patents.google.com/patent/US8014733","Google")</f>
        <v>0.0</v>
      </c>
      <c r="G395" s="2" t="n">
        <f>HYPERLINK("https://patentcenter.uspto.gov/applications/11627623","Patent Center")</f>
        <v>0.0</v>
      </c>
      <c r="H395" s="2" t="n">
        <f>HYPERLINK("https://worldwide.espacenet.com/patent/search?q=US8014733","Espacenet")</f>
        <v>0.0</v>
      </c>
      <c r="I395" s="2" t="n">
        <f>HYPERLINK("https://ppubs.uspto.gov/pubwebapp/external.html?q=8014733.pn.","USPTO")</f>
        <v>0.0</v>
      </c>
      <c r="J395" s="2" t="n">
        <f>HYPERLINK("https://image-ppubs.uspto.gov/dirsearch-public/print/downloadPdf/8014733","USPTO PDF")</f>
        <v>0.0</v>
      </c>
      <c r="K395" s="2" t="n">
        <f>HYPERLINK("https://sectors.patentforecast.com/pmd/US8014733","PMD")</f>
        <v>0.0</v>
      </c>
      <c r="L395" s="2" t="n">
        <f>HYPERLINK("https://globaldossier.uspto.gov/result/patent/US/8014733/1","US8014733")</f>
        <v>0.0</v>
      </c>
      <c r="M395" t="s">
        <v>2257</v>
      </c>
      <c r="N395" t="s">
        <v>445</v>
      </c>
      <c r="O395" t="s">
        <v>446</v>
      </c>
      <c r="P395" t="s">
        <v>2258</v>
      </c>
      <c r="Q395" s="3" t="n">
        <v>39108.0</v>
      </c>
      <c r="R395" s="3" t="n">
        <v>40792.0</v>
      </c>
      <c r="S395" s="3" t="n">
        <v>43791.48358821759</v>
      </c>
      <c r="T395" s="3" t="n">
        <v>43791.68696707176</v>
      </c>
      <c r="U395" t="s">
        <v>2259</v>
      </c>
      <c r="V395" t="s">
        <v>2260</v>
      </c>
    </row>
    <row r="396">
      <c r="A396" t="s">
        <v>1929</v>
      </c>
      <c r="B396" t="s">
        <v>2261</v>
      </c>
      <c r="C396" t="s">
        <v>52</v>
      </c>
      <c r="D396" t="s">
        <v>52</v>
      </c>
      <c r="E396" t="s">
        <v>2262</v>
      </c>
      <c r="F396" s="2" t="n">
        <f>HYPERLINK("https://patents.google.com/patent/US7978139","Google")</f>
        <v>0.0</v>
      </c>
      <c r="G396" s="2" t="n">
        <f>HYPERLINK("https://patentcenter.uspto.gov/applications/12487511","Patent Center")</f>
        <v>0.0</v>
      </c>
      <c r="H396" s="2" t="n">
        <f>HYPERLINK("https://worldwide.espacenet.com/patent/search?q=US7978139","Espacenet")</f>
        <v>0.0</v>
      </c>
      <c r="I396" s="2" t="n">
        <f>HYPERLINK("https://ppubs.uspto.gov/pubwebapp/external.html?q=7978139.pn.","USPTO")</f>
        <v>0.0</v>
      </c>
      <c r="J396" s="2" t="n">
        <f>HYPERLINK("https://image-ppubs.uspto.gov/dirsearch-public/print/downloadPdf/7978139","USPTO PDF")</f>
        <v>0.0</v>
      </c>
      <c r="K396" s="2" t="n">
        <f>HYPERLINK("https://sectors.patentforecast.com/pmd/US7978139","PMD")</f>
        <v>0.0</v>
      </c>
      <c r="L396" s="2" t="n">
        <f>HYPERLINK("https://globaldossier.uspto.gov/result/patent/US/7978139/1","US7978139")</f>
        <v>0.0</v>
      </c>
      <c r="M396" t="s">
        <v>1647</v>
      </c>
      <c r="N396" t="s">
        <v>1436</v>
      </c>
      <c r="O396" t="s">
        <v>1437</v>
      </c>
      <c r="P396" t="s">
        <v>2263</v>
      </c>
      <c r="Q396" s="3" t="n">
        <v>39982.0</v>
      </c>
      <c r="R396" s="3" t="n">
        <v>40736.0</v>
      </c>
      <c r="S396" s="3" t="n">
        <v>43788.41263238426</v>
      </c>
      <c r="T396" s="3" t="n">
        <v>43789.43156103009</v>
      </c>
      <c r="U396" t="s">
        <v>2264</v>
      </c>
      <c r="V396" t="s">
        <v>1650</v>
      </c>
    </row>
    <row r="397">
      <c r="A397" t="s">
        <v>1929</v>
      </c>
      <c r="B397" t="s">
        <v>2265</v>
      </c>
      <c r="C397" t="s">
        <v>52</v>
      </c>
      <c r="D397" t="s">
        <v>52</v>
      </c>
      <c r="E397" t="s">
        <v>2266</v>
      </c>
      <c r="F397" s="2" t="n">
        <f>HYPERLINK("https://patents.google.com/patent/US7978138","Google")</f>
        <v>0.0</v>
      </c>
      <c r="G397" s="2" t="n">
        <f>HYPERLINK("https://patentcenter.uspto.gov/applications/12487469","Patent Center")</f>
        <v>0.0</v>
      </c>
      <c r="H397" s="2" t="n">
        <f>HYPERLINK("https://worldwide.espacenet.com/patent/search?q=US7978138","Espacenet")</f>
        <v>0.0</v>
      </c>
      <c r="I397" s="2" t="n">
        <f>HYPERLINK("https://ppubs.uspto.gov/pubwebapp/external.html?q=7978138.pn.","USPTO")</f>
        <v>0.0</v>
      </c>
      <c r="J397" s="2" t="n">
        <f>HYPERLINK("https://image-ppubs.uspto.gov/dirsearch-public/print/downloadPdf/7978138","USPTO PDF")</f>
        <v>0.0</v>
      </c>
      <c r="K397" s="2" t="n">
        <f>HYPERLINK("https://sectors.patentforecast.com/pmd/US7978138","PMD")</f>
        <v>0.0</v>
      </c>
      <c r="L397" s="2" t="n">
        <f>HYPERLINK("https://globaldossier.uspto.gov/result/patent/US/7978138/1","US7978138")</f>
        <v>0.0</v>
      </c>
      <c r="M397" t="s">
        <v>1653</v>
      </c>
      <c r="N397" t="s">
        <v>1436</v>
      </c>
      <c r="O397" t="s">
        <v>1437</v>
      </c>
      <c r="P397" t="s">
        <v>2267</v>
      </c>
      <c r="Q397" s="3" t="n">
        <v>39982.0</v>
      </c>
      <c r="R397" s="3" t="n">
        <v>40736.0</v>
      </c>
      <c r="S397" s="3" t="n">
        <v>43788.41263238426</v>
      </c>
      <c r="T397" s="3" t="n">
        <v>43789.43219237268</v>
      </c>
      <c r="U397" t="s">
        <v>2268</v>
      </c>
      <c r="V397" t="s">
        <v>1656</v>
      </c>
    </row>
    <row r="398">
      <c r="A398" t="s">
        <v>1929</v>
      </c>
      <c r="B398" t="s">
        <v>2269</v>
      </c>
      <c r="C398" t="s">
        <v>168</v>
      </c>
      <c r="D398" t="s">
        <v>168</v>
      </c>
      <c r="E398" t="s">
        <v>2270</v>
      </c>
      <c r="F398" s="2" t="n">
        <f>HYPERLINK("https://patents.google.com/patent/US7944929","Google")</f>
        <v>0.0</v>
      </c>
      <c r="G398" s="2" t="n">
        <f>HYPERLINK("https://patentcenter.uspto.gov/applications/12341480","Patent Center")</f>
        <v>0.0</v>
      </c>
      <c r="H398" s="2" t="n">
        <f>HYPERLINK("https://worldwide.espacenet.com/patent/search?q=US7944929","Espacenet")</f>
        <v>0.0</v>
      </c>
      <c r="I398" s="2" t="n">
        <f>HYPERLINK("https://ppubs.uspto.gov/pubwebapp/external.html?q=7944929.pn.","USPTO")</f>
        <v>0.0</v>
      </c>
      <c r="J398" s="2" t="n">
        <f>HYPERLINK("https://image-ppubs.uspto.gov/dirsearch-public/print/downloadPdf/7944929","USPTO PDF")</f>
        <v>0.0</v>
      </c>
      <c r="K398" s="2" t="n">
        <f>HYPERLINK("https://sectors.patentforecast.com/pmd/US7944929","PMD")</f>
        <v>0.0</v>
      </c>
      <c r="L398" s="2" t="n">
        <f>HYPERLINK("https://globaldossier.uspto.gov/result/patent/US/7944929/1","US7944929")</f>
        <v>0.0</v>
      </c>
      <c r="M398" t="s">
        <v>1715</v>
      </c>
      <c r="N398" t="s">
        <v>1716</v>
      </c>
      <c r="O398" t="s">
        <v>1717</v>
      </c>
      <c r="P398" t="s">
        <v>2271</v>
      </c>
      <c r="Q398" s="3" t="n">
        <v>39804.0</v>
      </c>
      <c r="R398" s="3" t="n">
        <v>40680.0</v>
      </c>
      <c r="S398" s="3" t="n">
        <v>43790.79086461806</v>
      </c>
      <c r="T398" s="3" t="n">
        <v>43791.48281918981</v>
      </c>
      <c r="U398" t="s">
        <v>2272</v>
      </c>
      <c r="V398" t="s">
        <v>1720</v>
      </c>
    </row>
    <row r="399">
      <c r="A399" t="s">
        <v>1929</v>
      </c>
      <c r="B399" t="s">
        <v>2273</v>
      </c>
      <c r="C399" t="s">
        <v>24</v>
      </c>
      <c r="D399" t="s">
        <v>25</v>
      </c>
      <c r="E399" t="s">
        <v>1838</v>
      </c>
      <c r="F399" s="2" t="n">
        <f>HYPERLINK("https://patents.google.com/patent/US7864927","Google")</f>
        <v>0.0</v>
      </c>
      <c r="G399" s="2" t="n">
        <f>HYPERLINK("https://patentcenter.uspto.gov/applications/11344759","Patent Center")</f>
        <v>0.0</v>
      </c>
      <c r="H399" s="2" t="n">
        <f>HYPERLINK("https://worldwide.espacenet.com/patent/search?q=US7864927","Espacenet")</f>
        <v>0.0</v>
      </c>
      <c r="I399" s="2" t="n">
        <f>HYPERLINK("https://ppubs.uspto.gov/pubwebapp/external.html?q=7864927.pn.","USPTO")</f>
        <v>0.0</v>
      </c>
      <c r="J399" s="2" t="n">
        <f>HYPERLINK("https://image-ppubs.uspto.gov/dirsearch-public/print/downloadPdf/7864927","USPTO PDF")</f>
        <v>0.0</v>
      </c>
      <c r="K399" s="2" t="n">
        <f>HYPERLINK("https://sectors.patentforecast.com/pmd/US7864927","PMD")</f>
        <v>0.0</v>
      </c>
      <c r="L399" s="2" t="n">
        <f>HYPERLINK("https://globaldossier.uspto.gov/result/patent/US/7864927/1","US7864927")</f>
        <v>0.0</v>
      </c>
      <c r="M399" t="s">
        <v>1839</v>
      </c>
      <c r="N399" t="s">
        <v>1840</v>
      </c>
      <c r="O399" t="s">
        <v>1841</v>
      </c>
      <c r="P399" t="s">
        <v>2274</v>
      </c>
      <c r="Q399" s="3" t="n">
        <v>38749.0</v>
      </c>
      <c r="R399" s="3" t="n">
        <v>40547.0</v>
      </c>
      <c r="S399" s="3" t="n">
        <v>43789.56529414352</v>
      </c>
      <c r="T399" s="3" t="n">
        <v>43789.62449789352</v>
      </c>
      <c r="U399" t="s">
        <v>2275</v>
      </c>
      <c r="V399" t="s">
        <v>1844</v>
      </c>
    </row>
    <row r="400">
      <c r="A400" t="s">
        <v>1929</v>
      </c>
      <c r="B400" t="s">
        <v>2276</v>
      </c>
      <c r="C400" t="s">
        <v>24</v>
      </c>
      <c r="D400" t="s">
        <v>25</v>
      </c>
      <c r="E400" t="s">
        <v>2086</v>
      </c>
      <c r="F400" s="2" t="n">
        <f>HYPERLINK("https://patents.google.com/patent/US7855988","Google")</f>
        <v>0.0</v>
      </c>
      <c r="G400" s="2" t="n">
        <f>HYPERLINK("https://patentcenter.uspto.gov/applications/12172639","Patent Center")</f>
        <v>0.0</v>
      </c>
      <c r="H400" s="2" t="n">
        <f>HYPERLINK("https://worldwide.espacenet.com/patent/search?q=US7855988","Espacenet")</f>
        <v>0.0</v>
      </c>
      <c r="I400" s="2" t="n">
        <f>HYPERLINK("https://ppubs.uspto.gov/pubwebapp/external.html?q=7855988.pn.","USPTO")</f>
        <v>0.0</v>
      </c>
      <c r="J400" s="2" t="n">
        <f>HYPERLINK("https://image-ppubs.uspto.gov/dirsearch-public/print/downloadPdf/7855988","USPTO PDF")</f>
        <v>0.0</v>
      </c>
      <c r="K400" s="2" t="n">
        <f>HYPERLINK("https://sectors.patentforecast.com/pmd/US7855988","PMD")</f>
        <v>0.0</v>
      </c>
      <c r="L400" s="2" t="n">
        <f>HYPERLINK("https://globaldossier.uspto.gov/result/patent/US/7855988/1","US7855988")</f>
        <v>0.0</v>
      </c>
      <c r="M400" t="s">
        <v>2277</v>
      </c>
      <c r="N400" t="s">
        <v>1620</v>
      </c>
      <c r="O400" t="s">
        <v>1621</v>
      </c>
      <c r="P400" t="s">
        <v>2087</v>
      </c>
      <c r="Q400" s="3" t="n">
        <v>39643.0</v>
      </c>
      <c r="R400" s="3" t="n">
        <v>40533.0</v>
      </c>
      <c r="S400" s="3" t="n">
        <v>43790.72998633102</v>
      </c>
      <c r="T400" s="3" t="n">
        <v>43791.58868917824</v>
      </c>
      <c r="U400" t="s">
        <v>2088</v>
      </c>
      <c r="V400" t="s">
        <v>2278</v>
      </c>
    </row>
    <row r="401">
      <c r="A401" t="s">
        <v>1929</v>
      </c>
      <c r="B401" t="s">
        <v>2279</v>
      </c>
      <c r="C401" t="s">
        <v>168</v>
      </c>
      <c r="D401" t="s">
        <v>168</v>
      </c>
      <c r="E401" t="s">
        <v>2280</v>
      </c>
      <c r="F401" s="2" t="n">
        <f>HYPERLINK("https://patents.google.com/patent/US7817589","Google")</f>
        <v>0.0</v>
      </c>
      <c r="G401" s="2" t="n">
        <f>HYPERLINK("https://patentcenter.uspto.gov/applications/11677544","Patent Center")</f>
        <v>0.0</v>
      </c>
      <c r="H401" s="2" t="n">
        <f>HYPERLINK("https://worldwide.espacenet.com/patent/search?q=US7817589","Espacenet")</f>
        <v>0.0</v>
      </c>
      <c r="I401" s="2" t="n">
        <f>HYPERLINK("https://ppubs.uspto.gov/pubwebapp/external.html?q=7817589.pn.","USPTO")</f>
        <v>0.0</v>
      </c>
      <c r="J401" s="2" t="n">
        <f>HYPERLINK("https://image-ppubs.uspto.gov/dirsearch-public/print/downloadPdf/7817589","USPTO PDF")</f>
        <v>0.0</v>
      </c>
      <c r="K401" s="2" t="n">
        <f>HYPERLINK("https://sectors.patentforecast.com/pmd/US7817589","PMD")</f>
        <v>0.0</v>
      </c>
      <c r="L401" s="2" t="n">
        <f>HYPERLINK("https://globaldossier.uspto.gov/result/patent/US/7817589/1","US7817589")</f>
        <v>0.0</v>
      </c>
      <c r="M401" t="s">
        <v>1700</v>
      </c>
      <c r="N401" t="s">
        <v>1505</v>
      </c>
      <c r="O401" t="s">
        <v>1506</v>
      </c>
      <c r="P401" t="s">
        <v>2219</v>
      </c>
      <c r="Q401" s="3" t="n">
        <v>39134.0</v>
      </c>
      <c r="R401" s="3" t="n">
        <v>40470.0</v>
      </c>
      <c r="S401" s="3" t="n">
        <v>43791.29307018519</v>
      </c>
      <c r="T401" s="3" t="n">
        <v>43791.48286363426</v>
      </c>
      <c r="U401" t="s">
        <v>2163</v>
      </c>
      <c r="V401" t="s">
        <v>2281</v>
      </c>
    </row>
    <row r="402">
      <c r="A402" t="s">
        <v>1929</v>
      </c>
      <c r="B402" t="s">
        <v>2282</v>
      </c>
      <c r="C402" t="s">
        <v>24</v>
      </c>
      <c r="D402" t="s">
        <v>25</v>
      </c>
      <c r="E402" t="s">
        <v>2283</v>
      </c>
      <c r="F402" s="2" t="n">
        <f>HYPERLINK("https://patents.google.com/patent/US7782191","Google")</f>
        <v>0.0</v>
      </c>
      <c r="G402" s="2" t="n">
        <f>HYPERLINK("https://patentcenter.uspto.gov/applications/11828209","Patent Center")</f>
        <v>0.0</v>
      </c>
      <c r="H402" s="2" t="n">
        <f>HYPERLINK("https://worldwide.espacenet.com/patent/search?q=US7782191","Espacenet")</f>
        <v>0.0</v>
      </c>
      <c r="I402" s="2" t="n">
        <f>HYPERLINK("https://ppubs.uspto.gov/pubwebapp/external.html?q=7782191.pn.","USPTO")</f>
        <v>0.0</v>
      </c>
      <c r="J402" s="2" t="n">
        <f>HYPERLINK("https://image-ppubs.uspto.gov/dirsearch-public/print/downloadPdf/7782191","USPTO PDF")</f>
        <v>0.0</v>
      </c>
      <c r="K402" s="2" t="n">
        <f>HYPERLINK("https://sectors.patentforecast.com/pmd/US7782191","PMD")</f>
        <v>0.0</v>
      </c>
      <c r="L402" s="2" t="n">
        <f>HYPERLINK("https://globaldossier.uspto.gov/result/patent/US/7782191/1","US7782191")</f>
        <v>0.0</v>
      </c>
      <c r="M402" t="s">
        <v>1739</v>
      </c>
      <c r="N402" t="s">
        <v>227</v>
      </c>
      <c r="O402" t="s">
        <v>228</v>
      </c>
      <c r="P402" t="s">
        <v>2284</v>
      </c>
      <c r="Q402" s="3" t="n">
        <v>39288.0</v>
      </c>
      <c r="R402" s="3" t="n">
        <v>40414.0</v>
      </c>
      <c r="S402" s="3" t="n">
        <v>43789.47398376157</v>
      </c>
      <c r="T402" s="3" t="n">
        <v>43789.487692627314</v>
      </c>
      <c r="U402" t="s">
        <v>2285</v>
      </c>
      <c r="V402" t="s">
        <v>1742</v>
      </c>
    </row>
    <row r="403">
      <c r="A403" t="s">
        <v>1929</v>
      </c>
      <c r="B403" t="s">
        <v>2286</v>
      </c>
      <c r="C403" t="s">
        <v>24</v>
      </c>
      <c r="D403" t="s">
        <v>25</v>
      </c>
      <c r="E403" t="s">
        <v>1823</v>
      </c>
      <c r="F403" s="2" t="n">
        <f>HYPERLINK("https://patents.google.com/patent/US7778230","Google")</f>
        <v>0.0</v>
      </c>
      <c r="G403" s="2" t="n">
        <f>HYPERLINK("https://patentcenter.uspto.gov/applications/11650634","Patent Center")</f>
        <v>0.0</v>
      </c>
      <c r="H403" s="2" t="n">
        <f>HYPERLINK("https://worldwide.espacenet.com/patent/search?q=US7778230","Espacenet")</f>
        <v>0.0</v>
      </c>
      <c r="I403" s="2" t="n">
        <f>HYPERLINK("https://ppubs.uspto.gov/pubwebapp/external.html?q=7778230.pn.","USPTO")</f>
        <v>0.0</v>
      </c>
      <c r="J403" s="2" t="n">
        <f>HYPERLINK("https://image-ppubs.uspto.gov/dirsearch-public/print/downloadPdf/7778230","USPTO PDF")</f>
        <v>0.0</v>
      </c>
      <c r="K403" s="2" t="n">
        <f>HYPERLINK("https://sectors.patentforecast.com/pmd/US7778230","PMD")</f>
        <v>0.0</v>
      </c>
      <c r="L403" s="2" t="n">
        <f>HYPERLINK("https://globaldossier.uspto.gov/result/patent/US/7778230/1","US7778230")</f>
        <v>0.0</v>
      </c>
      <c r="M403" t="s">
        <v>1824</v>
      </c>
      <c r="N403" t="s">
        <v>1825</v>
      </c>
      <c r="O403" t="s">
        <v>1826</v>
      </c>
      <c r="P403" t="s">
        <v>2287</v>
      </c>
      <c r="Q403" s="3" t="n">
        <v>39088.0</v>
      </c>
      <c r="R403" s="3" t="n">
        <v>40407.0</v>
      </c>
      <c r="S403" s="3" t="n">
        <v>43790.78693418981</v>
      </c>
      <c r="T403" s="3" t="n">
        <v>43791.4736072338</v>
      </c>
      <c r="U403" t="s">
        <v>2288</v>
      </c>
      <c r="V403" t="s">
        <v>1827</v>
      </c>
    </row>
    <row r="404">
      <c r="A404" t="s">
        <v>1929</v>
      </c>
      <c r="B404" t="s">
        <v>2289</v>
      </c>
      <c r="C404" t="s">
        <v>24</v>
      </c>
      <c r="D404" t="s">
        <v>25</v>
      </c>
      <c r="E404" t="s">
        <v>1898</v>
      </c>
      <c r="F404" s="2" t="n">
        <f>HYPERLINK("https://patents.google.com/patent/US7720458","Google")</f>
        <v>0.0</v>
      </c>
      <c r="G404" s="2" t="n">
        <f>HYPERLINK("https://patentcenter.uspto.gov/applications/10446495","Patent Center")</f>
        <v>0.0</v>
      </c>
      <c r="H404" s="2" t="n">
        <f>HYPERLINK("https://worldwide.espacenet.com/patent/search?q=US7720458","Espacenet")</f>
        <v>0.0</v>
      </c>
      <c r="I404" s="2" t="n">
        <f>HYPERLINK("https://ppubs.uspto.gov/pubwebapp/external.html?q=7720458.pn.","USPTO")</f>
        <v>0.0</v>
      </c>
      <c r="J404" s="2" t="n">
        <f>HYPERLINK("https://image-ppubs.uspto.gov/dirsearch-public/print/downloadPdf/7720458","USPTO PDF")</f>
        <v>0.0</v>
      </c>
      <c r="K404" s="2" t="n">
        <f>HYPERLINK("https://sectors.patentforecast.com/pmd/US7720458","PMD")</f>
        <v>0.0</v>
      </c>
      <c r="L404" s="2" t="n">
        <f>HYPERLINK("https://globaldossier.uspto.gov/result/patent/US/7720458/1","US7720458")</f>
        <v>0.0</v>
      </c>
      <c r="M404" t="s">
        <v>1899</v>
      </c>
      <c r="N404" t="s">
        <v>1900</v>
      </c>
      <c r="O404" t="s">
        <v>1901</v>
      </c>
      <c r="P404" t="s">
        <v>2290</v>
      </c>
      <c r="Q404" s="3" t="n">
        <v>37768.0</v>
      </c>
      <c r="R404" s="3" t="n">
        <v>40316.0</v>
      </c>
      <c r="S404" s="3" t="n">
        <v>43791.50672724537</v>
      </c>
      <c r="T404" s="3" t="n">
        <v>43791.526444490744</v>
      </c>
      <c r="U404" t="s">
        <v>2291</v>
      </c>
      <c r="V404" t="s">
        <v>1904</v>
      </c>
    </row>
    <row r="405">
      <c r="A405" t="s">
        <v>1929</v>
      </c>
      <c r="B405" t="s">
        <v>2292</v>
      </c>
      <c r="C405" t="s">
        <v>24</v>
      </c>
      <c r="D405" t="s">
        <v>25</v>
      </c>
      <c r="E405" t="s">
        <v>1867</v>
      </c>
      <c r="F405" s="2" t="n">
        <f>HYPERLINK("https://patents.google.com/patent/US7707407","Google")</f>
        <v>0.0</v>
      </c>
      <c r="G405" s="2" t="n">
        <f>HYPERLINK("https://patentcenter.uspto.gov/applications/10716564","Patent Center")</f>
        <v>0.0</v>
      </c>
      <c r="H405" s="2" t="n">
        <f>HYPERLINK("https://worldwide.espacenet.com/patent/search?q=US7707407","Espacenet")</f>
        <v>0.0</v>
      </c>
      <c r="I405" s="2" t="n">
        <f>HYPERLINK("https://ppubs.uspto.gov/pubwebapp/external.html?q=7707407.pn.","USPTO")</f>
        <v>0.0</v>
      </c>
      <c r="J405" s="2" t="n">
        <f>HYPERLINK("https://image-ppubs.uspto.gov/dirsearch-public/print/downloadPdf/7707407","USPTO PDF")</f>
        <v>0.0</v>
      </c>
      <c r="K405" s="2" t="n">
        <f>HYPERLINK("https://sectors.patentforecast.com/pmd/US7707407","PMD")</f>
        <v>0.0</v>
      </c>
      <c r="L405" s="2" t="n">
        <f>HYPERLINK("https://globaldossier.uspto.gov/result/patent/US/7707407/1","US7707407")</f>
        <v>0.0</v>
      </c>
      <c r="M405" t="s">
        <v>1868</v>
      </c>
      <c r="N405" t="s">
        <v>1275</v>
      </c>
      <c r="O405" t="s">
        <v>1275</v>
      </c>
      <c r="P405" t="s">
        <v>2293</v>
      </c>
      <c r="Q405" s="3" t="n">
        <v>37945.0</v>
      </c>
      <c r="R405" s="3" t="n">
        <v>40295.0</v>
      </c>
      <c r="S405" s="3" t="n">
        <v>43791.50672724537</v>
      </c>
      <c r="T405" s="3" t="n">
        <v>43791.524345729165</v>
      </c>
      <c r="U405" t="s">
        <v>2232</v>
      </c>
      <c r="V405" t="s">
        <v>1871</v>
      </c>
    </row>
    <row r="406">
      <c r="A406" t="s">
        <v>1929</v>
      </c>
      <c r="B406" t="s">
        <v>2294</v>
      </c>
      <c r="C406" t="s">
        <v>24</v>
      </c>
      <c r="D406" t="s">
        <v>25</v>
      </c>
      <c r="E406" t="s">
        <v>1689</v>
      </c>
      <c r="F406" s="2" t="n">
        <f>HYPERLINK("https://patents.google.com/patent/US7626977","Google")</f>
        <v>0.0</v>
      </c>
      <c r="G406" s="2" t="n">
        <f>HYPERLINK("https://patentcenter.uspto.gov/applications/10739289","Patent Center")</f>
        <v>0.0</v>
      </c>
      <c r="H406" s="2" t="n">
        <f>HYPERLINK("https://worldwide.espacenet.com/patent/search?q=US7626977","Espacenet")</f>
        <v>0.0</v>
      </c>
      <c r="I406" s="2" t="n">
        <f>HYPERLINK("https://ppubs.uspto.gov/pubwebapp/external.html?q=7626977.pn.","USPTO")</f>
        <v>0.0</v>
      </c>
      <c r="J406" s="2" t="n">
        <f>HYPERLINK("https://image-ppubs.uspto.gov/dirsearch-public/print/downloadPdf/7626977","USPTO PDF")</f>
        <v>0.0</v>
      </c>
      <c r="K406" s="2" t="n">
        <f>HYPERLINK("https://sectors.patentforecast.com/pmd/US7626977","PMD")</f>
        <v>0.0</v>
      </c>
      <c r="L406" s="2" t="n">
        <f>HYPERLINK("https://globaldossier.uspto.gov/result/patent/US/7626977/1","US7626977")</f>
        <v>0.0</v>
      </c>
      <c r="M406" t="s">
        <v>1876</v>
      </c>
      <c r="N406" t="s">
        <v>1275</v>
      </c>
      <c r="O406" t="s">
        <v>1275</v>
      </c>
      <c r="P406" t="s">
        <v>2217</v>
      </c>
      <c r="Q406" s="3" t="n">
        <v>37974.0</v>
      </c>
      <c r="R406" s="3" t="n">
        <v>40148.0</v>
      </c>
      <c r="S406" s="3" t="n">
        <v>43791.50672724537</v>
      </c>
      <c r="T406" s="3" t="n">
        <v>43791.52660305556</v>
      </c>
      <c r="U406" t="s">
        <v>2116</v>
      </c>
      <c r="V406" t="s">
        <v>1349</v>
      </c>
    </row>
    <row r="407">
      <c r="A407" t="s">
        <v>1929</v>
      </c>
      <c r="B407" t="s">
        <v>2295</v>
      </c>
      <c r="C407" t="s">
        <v>24</v>
      </c>
      <c r="D407" t="s">
        <v>25</v>
      </c>
      <c r="E407" t="s">
        <v>2296</v>
      </c>
      <c r="F407" s="2" t="n">
        <f>HYPERLINK("https://patents.google.com/patent/US7598916","Google")</f>
        <v>0.0</v>
      </c>
      <c r="G407" s="2" t="n">
        <f>HYPERLINK("https://patentcenter.uspto.gov/applications/11876072","Patent Center")</f>
        <v>0.0</v>
      </c>
      <c r="H407" s="2" t="n">
        <f>HYPERLINK("https://worldwide.espacenet.com/patent/search?q=US7598916","Espacenet")</f>
        <v>0.0</v>
      </c>
      <c r="I407" s="2" t="n">
        <f>HYPERLINK("https://ppubs.uspto.gov/pubwebapp/external.html?q=7598916.pn.","USPTO")</f>
        <v>0.0</v>
      </c>
      <c r="J407" s="2" t="n">
        <f>HYPERLINK("https://image-ppubs.uspto.gov/dirsearch-public/print/downloadPdf/7598916","USPTO PDF")</f>
        <v>0.0</v>
      </c>
      <c r="K407" s="2" t="n">
        <f>HYPERLINK("https://sectors.patentforecast.com/pmd/US7598916","PMD")</f>
        <v>0.0</v>
      </c>
      <c r="L407" s="2" t="n">
        <f>HYPERLINK("https://globaldossier.uspto.gov/result/patent/US/7598916/1","US7598916")</f>
        <v>0.0</v>
      </c>
      <c r="M407" t="s">
        <v>1780</v>
      </c>
      <c r="N407" t="s">
        <v>2297</v>
      </c>
      <c r="O407" t="s">
        <v>2298</v>
      </c>
      <c r="P407" t="s">
        <v>2299</v>
      </c>
      <c r="Q407" s="3" t="n">
        <v>39377.0</v>
      </c>
      <c r="R407" s="3" t="n">
        <v>40092.0</v>
      </c>
      <c r="S407" s="3" t="n">
        <v>43791.39364810185</v>
      </c>
      <c r="T407" s="3" t="n">
        <v>43791.39502615741</v>
      </c>
      <c r="U407" t="s">
        <v>2300</v>
      </c>
      <c r="V407" t="s">
        <v>1783</v>
      </c>
    </row>
    <row r="408">
      <c r="A408" t="s">
        <v>1929</v>
      </c>
      <c r="B408" t="s">
        <v>2301</v>
      </c>
      <c r="C408" t="s">
        <v>24</v>
      </c>
      <c r="D408" t="s">
        <v>25</v>
      </c>
      <c r="E408" t="s">
        <v>1702</v>
      </c>
      <c r="F408" s="2" t="n">
        <f>HYPERLINK("https://patents.google.com/patent/US7577835","Google")</f>
        <v>0.0</v>
      </c>
      <c r="G408" s="2" t="n">
        <f>HYPERLINK("https://patentcenter.uspto.gov/applications/10643868","Patent Center")</f>
        <v>0.0</v>
      </c>
      <c r="H408" s="2" t="n">
        <f>HYPERLINK("https://worldwide.espacenet.com/patent/search?q=US7577835","Espacenet")</f>
        <v>0.0</v>
      </c>
      <c r="I408" s="2" t="n">
        <f>HYPERLINK("https://ppubs.uspto.gov/pubwebapp/external.html?q=7577835.pn.","USPTO")</f>
        <v>0.0</v>
      </c>
      <c r="J408" s="2" t="n">
        <f>HYPERLINK("https://image-ppubs.uspto.gov/dirsearch-public/print/downloadPdf/7577835","USPTO PDF")</f>
        <v>0.0</v>
      </c>
      <c r="K408" s="2" t="n">
        <f>HYPERLINK("https://sectors.patentforecast.com/pmd/US7577835","PMD")</f>
        <v>0.0</v>
      </c>
      <c r="L408" s="2" t="n">
        <f>HYPERLINK("https://globaldossier.uspto.gov/result/patent/US/7577835/1","US7577835")</f>
        <v>0.0</v>
      </c>
      <c r="M408" t="s">
        <v>1880</v>
      </c>
      <c r="N408" t="s">
        <v>1275</v>
      </c>
      <c r="O408" t="s">
        <v>1275</v>
      </c>
      <c r="P408" t="s">
        <v>2245</v>
      </c>
      <c r="Q408" s="3" t="n">
        <v>37853.0</v>
      </c>
      <c r="R408" s="3" t="n">
        <v>40043.0</v>
      </c>
      <c r="S408" s="3" t="n">
        <v>43791.50672724537</v>
      </c>
      <c r="T408" s="3" t="n">
        <v>43791.52292998842</v>
      </c>
      <c r="U408" t="s">
        <v>2302</v>
      </c>
      <c r="V408" t="s">
        <v>1582</v>
      </c>
    </row>
    <row r="409">
      <c r="A409" t="s">
        <v>1929</v>
      </c>
      <c r="B409" t="s">
        <v>2303</v>
      </c>
      <c r="C409" t="s">
        <v>61</v>
      </c>
      <c r="D409" t="s">
        <v>61</v>
      </c>
      <c r="E409" t="s">
        <v>1793</v>
      </c>
      <c r="F409" s="2" t="n">
        <f>HYPERLINK("https://patents.google.com/patent/US7545322","Google")</f>
        <v>0.0</v>
      </c>
      <c r="G409" s="2" t="n">
        <f>HYPERLINK("https://patentcenter.uspto.gov/applications/11230376","Patent Center")</f>
        <v>0.0</v>
      </c>
      <c r="H409" s="2" t="n">
        <f>HYPERLINK("https://worldwide.espacenet.com/patent/search?q=US7545322","Espacenet")</f>
        <v>0.0</v>
      </c>
      <c r="I409" s="2" t="n">
        <f>HYPERLINK("https://ppubs.uspto.gov/pubwebapp/external.html?q=7545322.pn.","USPTO")</f>
        <v>0.0</v>
      </c>
      <c r="J409" s="2" t="n">
        <f>HYPERLINK("https://image-ppubs.uspto.gov/dirsearch-public/print/downloadPdf/7545322","USPTO PDF")</f>
        <v>0.0</v>
      </c>
      <c r="K409" s="2" t="n">
        <f>HYPERLINK("https://sectors.patentforecast.com/pmd/US7545322","PMD")</f>
        <v>0.0</v>
      </c>
      <c r="L409" s="2" t="n">
        <f>HYPERLINK("https://globaldossier.uspto.gov/result/patent/US/7545322/1","US7545322")</f>
        <v>0.0</v>
      </c>
      <c r="M409" t="s">
        <v>1794</v>
      </c>
      <c r="N409" t="s">
        <v>1773</v>
      </c>
      <c r="O409" t="s">
        <v>1774</v>
      </c>
      <c r="P409" t="s">
        <v>2304</v>
      </c>
      <c r="Q409" s="3" t="n">
        <v>38615.0</v>
      </c>
      <c r="R409" s="3" t="n">
        <v>39973.0</v>
      </c>
      <c r="S409" s="3" t="n">
        <v>43788.41263238426</v>
      </c>
      <c r="T409" s="3" t="n">
        <v>43788.6818525</v>
      </c>
      <c r="U409" t="s">
        <v>2305</v>
      </c>
      <c r="V409" t="s">
        <v>2306</v>
      </c>
    </row>
    <row r="410">
      <c r="A410" t="s">
        <v>1929</v>
      </c>
      <c r="B410" t="s">
        <v>2307</v>
      </c>
      <c r="C410" t="s">
        <v>168</v>
      </c>
      <c r="D410" t="s">
        <v>168</v>
      </c>
      <c r="E410" t="s">
        <v>2308</v>
      </c>
      <c r="F410" s="2" t="n">
        <f>HYPERLINK("https://patents.google.com/patent/US7535861","Google")</f>
        <v>0.0</v>
      </c>
      <c r="G410" s="2" t="n">
        <f>HYPERLINK("https://patentcenter.uspto.gov/applications/11544224","Patent Center")</f>
        <v>0.0</v>
      </c>
      <c r="H410" s="2" t="n">
        <f>HYPERLINK("https://worldwide.espacenet.com/patent/search?q=US7535861","Espacenet")</f>
        <v>0.0</v>
      </c>
      <c r="I410" s="2" t="n">
        <f>HYPERLINK("https://ppubs.uspto.gov/pubwebapp/external.html?q=7535861.pn.","USPTO")</f>
        <v>0.0</v>
      </c>
      <c r="J410" s="2" t="n">
        <f>HYPERLINK("https://image-ppubs.uspto.gov/dirsearch-public/print/downloadPdf/7535861","USPTO PDF")</f>
        <v>0.0</v>
      </c>
      <c r="K410" s="2" t="n">
        <f>HYPERLINK("https://sectors.patentforecast.com/pmd/US7535861","PMD")</f>
        <v>0.0</v>
      </c>
      <c r="L410" s="2" t="n">
        <f>HYPERLINK("https://globaldossier.uspto.gov/result/patent/US/7535861/1","US7535861")</f>
        <v>0.0</v>
      </c>
      <c r="M410" t="s">
        <v>1830</v>
      </c>
      <c r="N410" t="s">
        <v>1505</v>
      </c>
      <c r="O410" t="s">
        <v>1506</v>
      </c>
      <c r="P410" t="s">
        <v>2162</v>
      </c>
      <c r="Q410" s="3" t="n">
        <v>38996.0</v>
      </c>
      <c r="R410" s="3" t="n">
        <v>39952.0</v>
      </c>
      <c r="S410" s="3" t="n">
        <v>43791.29307018519</v>
      </c>
      <c r="T410" s="3" t="n">
        <v>43791.48286363426</v>
      </c>
      <c r="U410" t="s">
        <v>2163</v>
      </c>
      <c r="V410" t="s">
        <v>2309</v>
      </c>
    </row>
    <row r="411">
      <c r="A411" t="s">
        <v>1929</v>
      </c>
      <c r="B411" t="s">
        <v>2310</v>
      </c>
      <c r="C411" t="s">
        <v>24</v>
      </c>
      <c r="D411" t="s">
        <v>25</v>
      </c>
      <c r="E411" t="s">
        <v>1733</v>
      </c>
      <c r="F411" s="2" t="n">
        <f>HYPERLINK("https://patents.google.com/patent/US7533259","Google")</f>
        <v>0.0</v>
      </c>
      <c r="G411" s="2" t="n">
        <f>HYPERLINK("https://patentcenter.uspto.gov/applications/10699834","Patent Center")</f>
        <v>0.0</v>
      </c>
      <c r="H411" s="2" t="n">
        <f>HYPERLINK("https://worldwide.espacenet.com/patent/search?q=US7533259","Espacenet")</f>
        <v>0.0</v>
      </c>
      <c r="I411" s="2" t="n">
        <f>HYPERLINK("https://ppubs.uspto.gov/pubwebapp/external.html?q=7533259.pn.","USPTO")</f>
        <v>0.0</v>
      </c>
      <c r="J411" s="2" t="n">
        <f>HYPERLINK("https://image-ppubs.uspto.gov/dirsearch-public/print/downloadPdf/7533259","USPTO PDF")</f>
        <v>0.0</v>
      </c>
      <c r="K411" s="2" t="n">
        <f>HYPERLINK("https://sectors.patentforecast.com/pmd/US7533259","PMD")</f>
        <v>0.0</v>
      </c>
      <c r="L411" s="2" t="n">
        <f>HYPERLINK("https://globaldossier.uspto.gov/result/patent/US/7533259/1","US7533259")</f>
        <v>0.0</v>
      </c>
      <c r="M411" t="s">
        <v>1873</v>
      </c>
      <c r="N411" t="s">
        <v>1275</v>
      </c>
      <c r="O411" t="s">
        <v>1275</v>
      </c>
      <c r="P411" t="s">
        <v>2293</v>
      </c>
      <c r="Q411" s="3" t="n">
        <v>37929.0</v>
      </c>
      <c r="R411" s="3" t="n">
        <v>39945.0</v>
      </c>
      <c r="S411" s="3" t="n">
        <v>43791.50672724537</v>
      </c>
      <c r="T411" s="3" t="n">
        <v>43791.52428856481</v>
      </c>
      <c r="U411" t="s">
        <v>2311</v>
      </c>
      <c r="V411" t="s">
        <v>1278</v>
      </c>
    </row>
    <row r="412">
      <c r="A412" t="s">
        <v>1929</v>
      </c>
      <c r="B412" t="s">
        <v>2312</v>
      </c>
      <c r="C412" t="s">
        <v>24</v>
      </c>
      <c r="D412" t="s">
        <v>25</v>
      </c>
      <c r="E412" t="s">
        <v>1771</v>
      </c>
      <c r="F412" s="2" t="n">
        <f>HYPERLINK("https://patents.google.com/patent/US7532163","Google")</f>
        <v>0.0</v>
      </c>
      <c r="G412" s="2" t="n">
        <f>HYPERLINK("https://patentcenter.uspto.gov/applications/11705213","Patent Center")</f>
        <v>0.0</v>
      </c>
      <c r="H412" s="2" t="n">
        <f>HYPERLINK("https://worldwide.espacenet.com/patent/search?q=US7532163","Espacenet")</f>
        <v>0.0</v>
      </c>
      <c r="I412" s="2" t="n">
        <f>HYPERLINK("https://ppubs.uspto.gov/pubwebapp/external.html?q=7532163.pn.","USPTO")</f>
        <v>0.0</v>
      </c>
      <c r="J412" s="2" t="n">
        <f>HYPERLINK("https://image-ppubs.uspto.gov/dirsearch-public/print/downloadPdf/7532163","USPTO PDF")</f>
        <v>0.0</v>
      </c>
      <c r="K412" s="2" t="n">
        <f>HYPERLINK("https://sectors.patentforecast.com/pmd/US7532163","PMD")</f>
        <v>0.0</v>
      </c>
      <c r="L412" s="2" t="n">
        <f>HYPERLINK("https://globaldossier.uspto.gov/result/patent/US/7532163/1","US7532163")</f>
        <v>0.0</v>
      </c>
      <c r="M412" t="s">
        <v>1772</v>
      </c>
      <c r="N412" t="s">
        <v>1773</v>
      </c>
      <c r="O412" t="s">
        <v>1774</v>
      </c>
      <c r="P412" t="s">
        <v>2313</v>
      </c>
      <c r="Q412" s="3" t="n">
        <v>39126.0</v>
      </c>
      <c r="R412" s="3" t="n">
        <v>39945.0</v>
      </c>
      <c r="S412" s="3" t="n">
        <v>43788.41286247685</v>
      </c>
      <c r="T412" s="3" t="n">
        <v>43789.41289423611</v>
      </c>
      <c r="U412" t="s">
        <v>2314</v>
      </c>
      <c r="V412" t="s">
        <v>1777</v>
      </c>
    </row>
    <row r="413">
      <c r="A413" t="s">
        <v>1929</v>
      </c>
      <c r="B413" t="s">
        <v>2315</v>
      </c>
      <c r="C413" t="s">
        <v>168</v>
      </c>
      <c r="D413" t="s">
        <v>168</v>
      </c>
      <c r="E413" t="s">
        <v>2270</v>
      </c>
      <c r="F413" s="2" t="n">
        <f>HYPERLINK("https://patents.google.com/patent/US7468980","Google")</f>
        <v>0.0</v>
      </c>
      <c r="G413" s="2" t="n">
        <f>HYPERLINK("https://patentcenter.uspto.gov/applications/10804493","Patent Center")</f>
        <v>0.0</v>
      </c>
      <c r="H413" s="2" t="n">
        <f>HYPERLINK("https://worldwide.espacenet.com/patent/search?q=US7468980","Espacenet")</f>
        <v>0.0</v>
      </c>
      <c r="I413" s="2" t="n">
        <f>HYPERLINK("https://ppubs.uspto.gov/pubwebapp/external.html?q=7468980.pn.","USPTO")</f>
        <v>0.0</v>
      </c>
      <c r="J413" s="2" t="n">
        <f>HYPERLINK("https://image-ppubs.uspto.gov/dirsearch-public/print/downloadPdf/7468980","USPTO PDF")</f>
        <v>0.0</v>
      </c>
      <c r="K413" s="2" t="n">
        <f>HYPERLINK("https://sectors.patentforecast.com/pmd/US7468980","PMD")</f>
        <v>0.0</v>
      </c>
      <c r="L413" s="2" t="n">
        <f>HYPERLINK("https://globaldossier.uspto.gov/result/patent/US/7468980/1","US7468980")</f>
        <v>0.0</v>
      </c>
      <c r="M413" t="s">
        <v>2316</v>
      </c>
      <c r="N413" t="s">
        <v>1716</v>
      </c>
      <c r="O413" t="s">
        <v>1717</v>
      </c>
      <c r="P413" t="s">
        <v>2317</v>
      </c>
      <c r="Q413" s="3" t="n">
        <v>38064.0</v>
      </c>
      <c r="R413" s="3" t="n">
        <v>39805.0</v>
      </c>
      <c r="S413" s="3" t="n">
        <v>43790.79086461806</v>
      </c>
      <c r="T413" s="3" t="n">
        <v>43791.48281918981</v>
      </c>
      <c r="U413" t="s">
        <v>2272</v>
      </c>
      <c r="V413" t="s">
        <v>1720</v>
      </c>
    </row>
    <row r="414">
      <c r="A414" t="s">
        <v>1929</v>
      </c>
      <c r="B414" t="s">
        <v>2318</v>
      </c>
      <c r="C414" t="s">
        <v>24</v>
      </c>
      <c r="D414" t="s">
        <v>25</v>
      </c>
      <c r="E414" t="s">
        <v>2319</v>
      </c>
      <c r="F414" s="2" t="n">
        <f>HYPERLINK("https://patents.google.com/patent/US7317896","Google")</f>
        <v>0.0</v>
      </c>
      <c r="G414" s="2" t="n">
        <f>HYPERLINK("https://patentcenter.uspto.gov/applications/10649031","Patent Center")</f>
        <v>0.0</v>
      </c>
      <c r="H414" s="2" t="n">
        <f>HYPERLINK("https://worldwide.espacenet.com/patent/search?q=US7317896","Espacenet")</f>
        <v>0.0</v>
      </c>
      <c r="I414" s="2" t="n">
        <f>HYPERLINK("https://ppubs.uspto.gov/pubwebapp/external.html?q=7317896.pn.","USPTO")</f>
        <v>0.0</v>
      </c>
      <c r="J414" s="2" t="n">
        <f>HYPERLINK("https://image-ppubs.uspto.gov/dirsearch-public/print/downloadPdf/7317896","USPTO PDF")</f>
        <v>0.0</v>
      </c>
      <c r="K414" s="2" t="n">
        <f>HYPERLINK("https://sectors.patentforecast.com/pmd/US7317896","PMD")</f>
        <v>0.0</v>
      </c>
      <c r="L414" s="2" t="n">
        <f>HYPERLINK("https://globaldossier.uspto.gov/result/patent/US/7317896/1","US7317896")</f>
        <v>0.0</v>
      </c>
      <c r="M414" t="s">
        <v>2320</v>
      </c>
      <c r="N414" t="s">
        <v>2321</v>
      </c>
      <c r="O414" t="s">
        <v>2322</v>
      </c>
      <c r="P414" t="s">
        <v>2323</v>
      </c>
      <c r="Q414" s="3" t="n">
        <v>37860.0</v>
      </c>
      <c r="R414" s="3" t="n">
        <v>39455.0</v>
      </c>
      <c r="S414" s="3" t="n">
        <v>43790.77963866898</v>
      </c>
      <c r="T414" s="3" t="n">
        <v>43791.47801980324</v>
      </c>
      <c r="U414" t="s">
        <v>2324</v>
      </c>
      <c r="V414" t="s">
        <v>2325</v>
      </c>
    </row>
    <row r="415">
      <c r="A415" t="s">
        <v>1929</v>
      </c>
      <c r="B415" t="s">
        <v>2326</v>
      </c>
      <c r="C415" t="s">
        <v>24</v>
      </c>
      <c r="D415" t="s">
        <v>25</v>
      </c>
      <c r="E415" t="s">
        <v>2327</v>
      </c>
      <c r="F415" s="2" t="n">
        <f>HYPERLINK("https://patents.google.com/patent/US7200358","Google")</f>
        <v>0.0</v>
      </c>
      <c r="G415" s="2" t="n">
        <f>HYPERLINK("https://patentcenter.uspto.gov/applications/11274439","Patent Center")</f>
        <v>0.0</v>
      </c>
      <c r="H415" s="2" t="n">
        <f>HYPERLINK("https://worldwide.espacenet.com/patent/search?q=US7200358","Espacenet")</f>
        <v>0.0</v>
      </c>
      <c r="I415" s="2" t="n">
        <f>HYPERLINK("https://ppubs.uspto.gov/pubwebapp/external.html?q=7200358.pn.","USPTO")</f>
        <v>0.0</v>
      </c>
      <c r="J415" s="2" t="n">
        <f>HYPERLINK("https://image-ppubs.uspto.gov/dirsearch-public/print/downloadPdf/7200358","USPTO PDF")</f>
        <v>0.0</v>
      </c>
      <c r="K415" s="2" t="n">
        <f>HYPERLINK("https://sectors.patentforecast.com/pmd/US7200358","PMD")</f>
        <v>0.0</v>
      </c>
      <c r="L415" s="2" t="n">
        <f>HYPERLINK("https://globaldossier.uspto.gov/result/patent/US/7200358/1","US7200358")</f>
        <v>0.0</v>
      </c>
      <c r="M415" t="s">
        <v>2328</v>
      </c>
      <c r="N415" t="s">
        <v>2329</v>
      </c>
      <c r="O415" t="s">
        <v>2330</v>
      </c>
      <c r="P415" t="s">
        <v>2331</v>
      </c>
      <c r="Q415" s="3" t="n">
        <v>38671.0</v>
      </c>
      <c r="R415" s="3" t="n">
        <v>39175.0</v>
      </c>
      <c r="S415" s="3" t="n">
        <v>44497.598131099534</v>
      </c>
      <c r="T415" s="3" t="n">
        <v>44497.65043391204</v>
      </c>
      <c r="U415" t="s">
        <v>2332</v>
      </c>
      <c r="V415" t="s">
        <v>2333</v>
      </c>
    </row>
    <row r="416">
      <c r="A416" t="s">
        <v>1929</v>
      </c>
      <c r="B416" t="s">
        <v>2334</v>
      </c>
      <c r="C416" t="s">
        <v>24</v>
      </c>
      <c r="D416" t="s">
        <v>25</v>
      </c>
      <c r="E416" t="s">
        <v>1846</v>
      </c>
      <c r="F416" s="2" t="n">
        <f>HYPERLINK("https://patents.google.com/patent/US7102590","Google")</f>
        <v>0.0</v>
      </c>
      <c r="G416" s="2" t="n">
        <f>HYPERLINK("https://patentcenter.uspto.gov/applications/10941141","Patent Center")</f>
        <v>0.0</v>
      </c>
      <c r="H416" s="2" t="n">
        <f>HYPERLINK("https://worldwide.espacenet.com/patent/search?q=US7102590","Espacenet")</f>
        <v>0.0</v>
      </c>
      <c r="I416" s="2" t="n">
        <f>HYPERLINK("https://ppubs.uspto.gov/pubwebapp/external.html?q=7102590.pn.","USPTO")</f>
        <v>0.0</v>
      </c>
      <c r="J416" s="2" t="n">
        <f>HYPERLINK("https://image-ppubs.uspto.gov/dirsearch-public/print/downloadPdf/7102590","USPTO PDF")</f>
        <v>0.0</v>
      </c>
      <c r="K416" s="2" t="n">
        <f>HYPERLINK("https://sectors.patentforecast.com/pmd/US7102590","PMD")</f>
        <v>0.0</v>
      </c>
      <c r="L416" s="2" t="n">
        <f>HYPERLINK("https://globaldossier.uspto.gov/result/patent/US/7102590/1","US7102590")</f>
        <v>0.0</v>
      </c>
      <c r="M416" t="s">
        <v>1847</v>
      </c>
      <c r="N416" t="s">
        <v>1848</v>
      </c>
      <c r="O416" t="s">
        <v>1849</v>
      </c>
      <c r="P416" t="s">
        <v>2335</v>
      </c>
      <c r="Q416" s="3" t="n">
        <v>38244.0</v>
      </c>
      <c r="R416" s="3" t="n">
        <v>38965.0</v>
      </c>
      <c r="S416" s="3" t="n">
        <v>43789.474087546296</v>
      </c>
      <c r="T416" s="3" t="n">
        <v>43789.56153695602</v>
      </c>
      <c r="U416" t="s">
        <v>2336</v>
      </c>
      <c r="V416" t="s">
        <v>2337</v>
      </c>
    </row>
    <row r="417">
      <c r="A417" t="s">
        <v>1929</v>
      </c>
      <c r="B417" t="s">
        <v>2338</v>
      </c>
      <c r="C417" t="s">
        <v>24</v>
      </c>
      <c r="D417" t="s">
        <v>25</v>
      </c>
      <c r="E417" t="s">
        <v>1668</v>
      </c>
      <c r="F417" s="2" t="n">
        <f>HYPERLINK("https://patents.google.com/patent/US6769588","Google")</f>
        <v>0.0</v>
      </c>
      <c r="G417" s="2" t="n">
        <f>HYPERLINK("https://patentcenter.uspto.gov/applications/09773113","Patent Center")</f>
        <v>0.0</v>
      </c>
      <c r="H417" s="2" t="n">
        <f>HYPERLINK("https://worldwide.espacenet.com/patent/search?q=US6769588","Espacenet")</f>
        <v>0.0</v>
      </c>
      <c r="I417" s="2" t="n">
        <f>HYPERLINK("https://ppubs.uspto.gov/pubwebapp/external.html?q=6769588.pn.","USPTO")</f>
        <v>0.0</v>
      </c>
      <c r="J417" s="2" t="n">
        <f>HYPERLINK("https://image-ppubs.uspto.gov/dirsearch-public/print/downloadPdf/6769588","USPTO PDF")</f>
        <v>0.0</v>
      </c>
      <c r="K417" s="2" t="n">
        <f>HYPERLINK("https://sectors.patentforecast.com/pmd/US6769588","PMD")</f>
        <v>0.0</v>
      </c>
      <c r="L417" s="2" t="n">
        <f>HYPERLINK("https://globaldossier.uspto.gov/result/patent/US/6769588/1","US6769588")</f>
        <v>0.0</v>
      </c>
      <c r="M417" t="s">
        <v>1906</v>
      </c>
      <c r="N417" t="s">
        <v>1572</v>
      </c>
      <c r="O417" t="s">
        <v>1573</v>
      </c>
      <c r="P417" t="s">
        <v>2339</v>
      </c>
      <c r="Q417" s="3" t="n">
        <v>36922.0</v>
      </c>
      <c r="R417" s="3" t="n">
        <v>38202.0</v>
      </c>
      <c r="S417" s="3" t="n">
        <v>43787.479875613426</v>
      </c>
      <c r="T417" s="3" t="n">
        <v>43791.46381488426</v>
      </c>
      <c r="U417" t="s">
        <v>2340</v>
      </c>
      <c r="V417" t="s">
        <v>2341</v>
      </c>
    </row>
    <row r="418">
      <c r="A418" t="s">
        <v>1929</v>
      </c>
      <c r="B418" t="s">
        <v>2342</v>
      </c>
      <c r="C418" t="s">
        <v>24</v>
      </c>
      <c r="D418" t="s">
        <v>25</v>
      </c>
      <c r="E418" t="s">
        <v>2343</v>
      </c>
      <c r="F418" s="2" t="n">
        <f>HYPERLINK("https://patents.google.com/patent/US6735450","Google")</f>
        <v>0.0</v>
      </c>
      <c r="G418" s="2" t="n">
        <f>HYPERLINK("https://patentcenter.uspto.gov/applications/09713907","Patent Center")</f>
        <v>0.0</v>
      </c>
      <c r="H418" s="2" t="n">
        <f>HYPERLINK("https://worldwide.espacenet.com/patent/search?q=US6735450","Espacenet")</f>
        <v>0.0</v>
      </c>
      <c r="I418" s="2" t="n">
        <f>HYPERLINK("https://ppubs.uspto.gov/pubwebapp/external.html?q=6735450.pn.","USPTO")</f>
        <v>0.0</v>
      </c>
      <c r="J418" s="2" t="n">
        <f>HYPERLINK("https://image-ppubs.uspto.gov/dirsearch-public/print/downloadPdf/6735450","USPTO PDF")</f>
        <v>0.0</v>
      </c>
      <c r="K418" s="2" t="n">
        <f>HYPERLINK("https://sectors.patentforecast.com/pmd/US6735450","PMD")</f>
        <v>0.0</v>
      </c>
      <c r="L418" s="2" t="n">
        <f>HYPERLINK("https://globaldossier.uspto.gov/result/patent/US/6735450/1","US6735450")</f>
        <v>0.0</v>
      </c>
      <c r="M418" t="s">
        <v>2344</v>
      </c>
      <c r="N418" t="s">
        <v>2345</v>
      </c>
      <c r="O418" t="s">
        <v>2346</v>
      </c>
      <c r="P418" t="s">
        <v>2347</v>
      </c>
      <c r="Q418" s="3" t="n">
        <v>36846.0</v>
      </c>
      <c r="R418" s="3" t="n">
        <v>38118.0</v>
      </c>
      <c r="S418" s="3" t="n">
        <v>44497.58250657407</v>
      </c>
      <c r="T418" s="3" t="n">
        <v>44497.60133784722</v>
      </c>
      <c r="U418" t="s">
        <v>2348</v>
      </c>
      <c r="V418" t="s">
        <v>2349</v>
      </c>
    </row>
    <row r="419">
      <c r="A419" t="s">
        <v>1929</v>
      </c>
      <c r="B419" t="s">
        <v>2350</v>
      </c>
      <c r="C419" t="s">
        <v>24</v>
      </c>
      <c r="D419" t="s">
        <v>25</v>
      </c>
      <c r="E419" t="s">
        <v>2351</v>
      </c>
      <c r="F419" s="2" t="n">
        <f>HYPERLINK("https://patents.google.com/patent/US6636498","Google")</f>
        <v>0.0</v>
      </c>
      <c r="G419" s="2" t="n">
        <f>HYPERLINK("https://patentcenter.uspto.gov/applications/09227396","Patent Center")</f>
        <v>0.0</v>
      </c>
      <c r="H419" s="2" t="n">
        <f>HYPERLINK("https://worldwide.espacenet.com/patent/search?q=US6636498","Espacenet")</f>
        <v>0.0</v>
      </c>
      <c r="I419" s="2" t="n">
        <f>HYPERLINK("https://ppubs.uspto.gov/pubwebapp/external.html?q=6636498.pn.","USPTO")</f>
        <v>0.0</v>
      </c>
      <c r="J419" s="2" t="n">
        <f>HYPERLINK("https://image-ppubs.uspto.gov/dirsearch-public/print/downloadPdf/6636498","USPTO PDF")</f>
        <v>0.0</v>
      </c>
      <c r="K419" s="2" t="n">
        <f>HYPERLINK("https://sectors.patentforecast.com/pmd/US6636498","PMD")</f>
        <v>0.0</v>
      </c>
      <c r="L419" s="2" t="n">
        <f>HYPERLINK("https://globaldossier.uspto.gov/result/patent/US/6636498/1","US6636498")</f>
        <v>0.0</v>
      </c>
      <c r="M419" t="s">
        <v>2352</v>
      </c>
      <c r="N419" t="s">
        <v>2353</v>
      </c>
      <c r="O419" t="s">
        <v>2354</v>
      </c>
      <c r="P419" t="s">
        <v>2355</v>
      </c>
      <c r="Q419" s="3" t="n">
        <v>36168.0</v>
      </c>
      <c r="R419" s="3" t="n">
        <v>37915.0</v>
      </c>
      <c r="S419" s="3" t="n">
        <v>43790.78693417824</v>
      </c>
      <c r="T419" s="3" t="n">
        <v>43791.62424827546</v>
      </c>
      <c r="U419" t="s">
        <v>2356</v>
      </c>
      <c r="V419" t="s">
        <v>2357</v>
      </c>
    </row>
    <row r="420">
      <c r="A420" t="s">
        <v>1929</v>
      </c>
      <c r="B420" t="s">
        <v>2358</v>
      </c>
      <c r="C420" t="s">
        <v>52</v>
      </c>
      <c r="D420" t="s">
        <v>52</v>
      </c>
      <c r="E420" t="s">
        <v>2359</v>
      </c>
      <c r="F420" s="2" t="n">
        <f>HYPERLINK("https://patents.google.com/patent/US6259399","Google")</f>
        <v>0.0</v>
      </c>
      <c r="G420" s="2" t="n">
        <f>HYPERLINK("https://patentcenter.uspto.gov/applications/09132573","Patent Center")</f>
        <v>0.0</v>
      </c>
      <c r="H420" s="2" t="n">
        <f>HYPERLINK("https://worldwide.espacenet.com/patent/search?q=US6259399","Espacenet")</f>
        <v>0.0</v>
      </c>
      <c r="I420" s="2" t="n">
        <f>HYPERLINK("https://ppubs.uspto.gov/pubwebapp/external.html?q=6259399.pn.","USPTO")</f>
        <v>0.0</v>
      </c>
      <c r="J420" s="2" t="n">
        <f>HYPERLINK("https://image-ppubs.uspto.gov/dirsearch-public/print/downloadPdf/6259399","USPTO PDF")</f>
        <v>0.0</v>
      </c>
      <c r="K420" s="2" t="n">
        <f>HYPERLINK("https://sectors.patentforecast.com/pmd/US6259399","PMD")</f>
        <v>0.0</v>
      </c>
      <c r="L420" s="2" t="n">
        <f>HYPERLINK("https://globaldossier.uspto.gov/result/patent/US/6259399/1","US6259399")</f>
        <v>0.0</v>
      </c>
      <c r="M420" t="s">
        <v>2360</v>
      </c>
      <c r="N420" t="s">
        <v>901</v>
      </c>
      <c r="O420" t="s">
        <v>902</v>
      </c>
      <c r="P420" t="s">
        <v>2361</v>
      </c>
      <c r="Q420" s="3" t="n">
        <v>36018.0</v>
      </c>
      <c r="R420" s="3" t="n">
        <v>37082.0</v>
      </c>
      <c r="S420" s="3" t="n">
        <v>43791.53184103009</v>
      </c>
      <c r="T420" s="3" t="n">
        <v>43791.532986516206</v>
      </c>
      <c r="U420" t="s">
        <v>2362</v>
      </c>
      <c r="V420" t="s">
        <v>2363</v>
      </c>
    </row>
    <row r="421">
      <c r="A421" t="s">
        <v>1929</v>
      </c>
      <c r="B421" t="s">
        <v>2364</v>
      </c>
      <c r="C421" t="s">
        <v>24</v>
      </c>
      <c r="D421" t="s">
        <v>25</v>
      </c>
      <c r="E421" t="s">
        <v>2365</v>
      </c>
      <c r="F421" s="2" t="n">
        <f>HYPERLINK("https://patents.google.com/patent/US6151354","Google")</f>
        <v>0.0</v>
      </c>
      <c r="G421" s="2" t="n">
        <f>HYPERLINK("https://patentcenter.uspto.gov/applications/08994954","Patent Center")</f>
        <v>0.0</v>
      </c>
      <c r="H421" s="2" t="n">
        <f>HYPERLINK("https://worldwide.espacenet.com/patent/search?q=US6151354","Espacenet")</f>
        <v>0.0</v>
      </c>
      <c r="I421" s="2" t="n">
        <f>HYPERLINK("https://ppubs.uspto.gov/pubwebapp/external.html?q=6151354.pn.","USPTO")</f>
        <v>0.0</v>
      </c>
      <c r="J421" s="2" t="n">
        <f>HYPERLINK("https://image-ppubs.uspto.gov/dirsearch-public/print/downloadPdf/6151354","USPTO PDF")</f>
        <v>0.0</v>
      </c>
      <c r="K421" s="2" t="n">
        <f>HYPERLINK("https://sectors.patentforecast.com/pmd/US6151354","PMD")</f>
        <v>0.0</v>
      </c>
      <c r="L421" s="2" t="n">
        <f>HYPERLINK("https://globaldossier.uspto.gov/result/patent/US/6151354/1","US6151354")</f>
        <v>0.0</v>
      </c>
      <c r="M421" t="s">
        <v>2366</v>
      </c>
      <c r="N421" t="s">
        <v>2367</v>
      </c>
      <c r="O421" t="s">
        <v>2368</v>
      </c>
      <c r="P421" t="s">
        <v>2369</v>
      </c>
      <c r="Q421" s="3" t="n">
        <v>35783.0</v>
      </c>
      <c r="R421" s="3" t="n">
        <v>36851.0</v>
      </c>
      <c r="S421" s="3" t="n">
        <v>43788.41286247685</v>
      </c>
      <c r="T421" s="3" t="n">
        <v>43789.4069587037</v>
      </c>
      <c r="U421" t="s">
        <v>2370</v>
      </c>
      <c r="V421" t="s">
        <v>2371</v>
      </c>
    </row>
    <row r="422">
      <c r="A422" t="s">
        <v>1929</v>
      </c>
      <c r="B422" t="s">
        <v>2372</v>
      </c>
      <c r="C422" t="s">
        <v>24</v>
      </c>
      <c r="D422" t="s">
        <v>25</v>
      </c>
      <c r="E422" t="s">
        <v>2373</v>
      </c>
      <c r="F422" s="2" t="n">
        <f>HYPERLINK("https://patents.google.com/patent/US6052364","Google")</f>
        <v>0.0</v>
      </c>
      <c r="G422" s="2" t="n">
        <f>HYPERLINK("https://patentcenter.uspto.gov/applications/08874726","Patent Center")</f>
        <v>0.0</v>
      </c>
      <c r="H422" s="2" t="n">
        <f>HYPERLINK("https://worldwide.espacenet.com/patent/search?q=US6052364","Espacenet")</f>
        <v>0.0</v>
      </c>
      <c r="I422" s="2" t="n">
        <f>HYPERLINK("https://ppubs.uspto.gov/pubwebapp/external.html?q=6052364.pn.","USPTO")</f>
        <v>0.0</v>
      </c>
      <c r="J422" s="2" t="n">
        <f>HYPERLINK("https://image-ppubs.uspto.gov/dirsearch-public/print/downloadPdf/6052364","USPTO PDF")</f>
        <v>0.0</v>
      </c>
      <c r="K422" s="2" t="n">
        <f>HYPERLINK("https://sectors.patentforecast.com/pmd/US6052364","PMD")</f>
        <v>0.0</v>
      </c>
      <c r="L422" s="2" t="n">
        <f>HYPERLINK("https://globaldossier.uspto.gov/result/patent/US/6052364/1","US6052364")</f>
        <v>0.0</v>
      </c>
      <c r="M422" t="s">
        <v>2374</v>
      </c>
      <c r="N422" t="s">
        <v>2375</v>
      </c>
      <c r="O422" t="s">
        <v>2376</v>
      </c>
      <c r="P422" t="s">
        <v>2377</v>
      </c>
      <c r="Q422" s="3" t="n">
        <v>35594.0</v>
      </c>
      <c r="R422" s="3" t="n">
        <v>36634.0</v>
      </c>
      <c r="S422" s="3" t="n">
        <v>43805.01799144676</v>
      </c>
      <c r="T422" s="3" t="n">
        <v>43805.40624236111</v>
      </c>
      <c r="U422" t="s">
        <v>2378</v>
      </c>
      <c r="V422" t="s">
        <v>2379</v>
      </c>
    </row>
    <row r="423">
      <c r="A423" t="s">
        <v>1929</v>
      </c>
      <c r="B423" t="s">
        <v>2380</v>
      </c>
      <c r="C423" t="s">
        <v>24</v>
      </c>
      <c r="D423" t="s">
        <v>25</v>
      </c>
      <c r="E423" t="s">
        <v>2381</v>
      </c>
      <c r="F423" s="2" t="n">
        <f>HYPERLINK("https://patents.google.com/patent/US6041242","Google")</f>
        <v>0.0</v>
      </c>
      <c r="G423" s="2" t="n">
        <f>HYPERLINK("https://patentcenter.uspto.gov/applications/08876257","Patent Center")</f>
        <v>0.0</v>
      </c>
      <c r="H423" s="2" t="n">
        <f>HYPERLINK("https://worldwide.espacenet.com/patent/search?q=US6041242","Espacenet")</f>
        <v>0.0</v>
      </c>
      <c r="I423" s="2" t="n">
        <f>HYPERLINK("https://ppubs.uspto.gov/pubwebapp/external.html?q=6041242.pn.","USPTO")</f>
        <v>0.0</v>
      </c>
      <c r="J423" s="2" t="n">
        <f>HYPERLINK("https://image-ppubs.uspto.gov/dirsearch-public/print/downloadPdf/6041242","USPTO PDF")</f>
        <v>0.0</v>
      </c>
      <c r="K423" s="2" t="n">
        <f>HYPERLINK("https://sectors.patentforecast.com/pmd/US6041242","PMD")</f>
        <v>0.0</v>
      </c>
      <c r="L423" s="2" t="n">
        <f>HYPERLINK("https://globaldossier.uspto.gov/result/patent/US/6041242/1","US6041242")</f>
        <v>0.0</v>
      </c>
      <c r="M423" t="s">
        <v>2382</v>
      </c>
      <c r="N423" t="s">
        <v>227</v>
      </c>
      <c r="O423" t="s">
        <v>228</v>
      </c>
      <c r="P423" t="s">
        <v>2383</v>
      </c>
      <c r="Q423" s="3" t="n">
        <v>35597.0</v>
      </c>
      <c r="R423" s="3" t="n">
        <v>36606.0</v>
      </c>
      <c r="S423" s="3" t="n">
        <v>43789.474087546296</v>
      </c>
      <c r="T423" s="3" t="n">
        <v>43789.50367689815</v>
      </c>
      <c r="U423" t="s">
        <v>2384</v>
      </c>
      <c r="V423" t="s">
        <v>2385</v>
      </c>
    </row>
    <row r="424">
      <c r="A424" t="s">
        <v>1929</v>
      </c>
      <c r="B424" t="s">
        <v>2386</v>
      </c>
      <c r="C424" t="s">
        <v>24</v>
      </c>
      <c r="D424" t="s">
        <v>25</v>
      </c>
      <c r="E424" t="s">
        <v>2387</v>
      </c>
      <c r="F424" s="2" t="n">
        <f>HYPERLINK("https://patents.google.com/patent/US5398276","Google")</f>
        <v>0.0</v>
      </c>
      <c r="G424" s="2" t="n">
        <f>HYPERLINK("https://patentcenter.uspto.gov/applications/08015576","Patent Center")</f>
        <v>0.0</v>
      </c>
      <c r="H424" s="2" t="n">
        <f>HYPERLINK("https://worldwide.espacenet.com/patent/search?q=US5398276","Espacenet")</f>
        <v>0.0</v>
      </c>
      <c r="I424" s="2" t="n">
        <f>HYPERLINK("https://ppubs.uspto.gov/pubwebapp/external.html?q=5398276.pn.","USPTO")</f>
        <v>0.0</v>
      </c>
      <c r="J424" s="2" t="n">
        <f>HYPERLINK("https://image-ppubs.uspto.gov/dirsearch-public/print/downloadPdf/5398276","USPTO PDF")</f>
        <v>0.0</v>
      </c>
      <c r="K424" s="2" t="n">
        <f>HYPERLINK("https://sectors.patentforecast.com/pmd/US5398276","PMD")</f>
        <v>0.0</v>
      </c>
      <c r="L424" s="2" t="n">
        <f>HYPERLINK("https://globaldossier.uspto.gov/result/patent/US/5398276/1","US5398276")</f>
        <v>0.0</v>
      </c>
      <c r="M424" t="s">
        <v>2388</v>
      </c>
      <c r="N424" t="s">
        <v>2389</v>
      </c>
      <c r="O424" t="s">
        <v>2390</v>
      </c>
      <c r="P424" t="s">
        <v>2391</v>
      </c>
      <c r="Q424" s="3" t="n">
        <v>34009.0</v>
      </c>
      <c r="R424" s="3" t="n">
        <v>34772.0</v>
      </c>
      <c r="S424" s="3" t="n">
        <v>43791.53184103009</v>
      </c>
      <c r="T424" s="3" t="n">
        <v>43791.53267375</v>
      </c>
      <c r="U424" t="s">
        <v>2392</v>
      </c>
      <c r="V424" t="s">
        <v>2393</v>
      </c>
    </row>
    <row r="425">
      <c r="A425" t="s">
        <v>1929</v>
      </c>
      <c r="B425" t="s">
        <v>2394</v>
      </c>
      <c r="C425" t="s">
        <v>2395</v>
      </c>
      <c r="D425" t="s">
        <v>2396</v>
      </c>
      <c r="E425" t="s">
        <v>2397</v>
      </c>
      <c r="F425" s="2" t="n">
        <f>HYPERLINK("https://patents.google.com/patent/US11140248","Google")</f>
        <v>0.0</v>
      </c>
      <c r="G425" s="2" t="n">
        <f>HYPERLINK("https://patentcenter.uspto.gov/applications/16877767","Patent Center")</f>
        <v>0.0</v>
      </c>
      <c r="H425" s="2" t="n">
        <f>HYPERLINK("https://worldwide.espacenet.com/patent/search?q=US11140248","Espacenet")</f>
        <v>0.0</v>
      </c>
      <c r="I425" s="2" t="n">
        <f>HYPERLINK("https://ppubs.uspto.gov/pubwebapp/external.html?q=11140248.pn.","USPTO")</f>
        <v>0.0</v>
      </c>
      <c r="J425" s="2" t="n">
        <f>HYPERLINK("https://image-ppubs.uspto.gov/dirsearch-public/print/downloadPdf/11140248","USPTO PDF")</f>
        <v>0.0</v>
      </c>
      <c r="K425" s="2" t="n">
        <f>HYPERLINK("https://sectors.patentforecast.com/pmd/US11140248","PMD")</f>
        <v>0.0</v>
      </c>
      <c r="L425" s="2" t="n">
        <f>HYPERLINK("https://globaldossier.uspto.gov/result/patent/US/11140248/1","US11140248")</f>
        <v>0.0</v>
      </c>
      <c r="M425" t="s">
        <v>313</v>
      </c>
      <c r="N425" t="s">
        <v>314</v>
      </c>
      <c r="O425" t="s">
        <v>315</v>
      </c>
      <c r="P425" t="s">
        <v>2398</v>
      </c>
      <c r="Q425" s="3" t="n">
        <v>43970.0</v>
      </c>
      <c r="R425" s="3" t="n">
        <v>44474.0</v>
      </c>
      <c r="S425" s="3" t="n">
        <v>44477.89213533565</v>
      </c>
      <c r="T425" s="3" t="n">
        <v>44495.58569710648</v>
      </c>
      <c r="U425" t="s">
        <v>2399</v>
      </c>
      <c r="V425" t="s">
        <v>1093</v>
      </c>
    </row>
    <row r="426">
      <c r="A426" t="s">
        <v>1929</v>
      </c>
      <c r="B426" t="s">
        <v>2400</v>
      </c>
      <c r="C426" t="s">
        <v>168</v>
      </c>
      <c r="D426" t="s">
        <v>168</v>
      </c>
      <c r="E426" t="s">
        <v>2401</v>
      </c>
      <c r="F426" s="2" t="n">
        <f>HYPERLINK("https://patents.google.com/patent/US11134493","Google")</f>
        <v>0.0</v>
      </c>
      <c r="G426" s="2" t="n">
        <f>HYPERLINK("https://patentcenter.uspto.gov/applications/16583295","Patent Center")</f>
        <v>0.0</v>
      </c>
      <c r="H426" s="2" t="n">
        <f>HYPERLINK("https://worldwide.espacenet.com/patent/search?q=US11134493","Espacenet")</f>
        <v>0.0</v>
      </c>
      <c r="I426" s="2" t="n">
        <f>HYPERLINK("https://ppubs.uspto.gov/pubwebapp/external.html?q=11134493.pn.","USPTO")</f>
        <v>0.0</v>
      </c>
      <c r="J426" s="2" t="n">
        <f>HYPERLINK("https://image-ppubs.uspto.gov/dirsearch-public/print/downloadPdf/11134493","USPTO PDF")</f>
        <v>0.0</v>
      </c>
      <c r="K426" s="2" t="n">
        <f>HYPERLINK("https://sectors.patentforecast.com/pmd/US11134493","PMD")</f>
        <v>0.0</v>
      </c>
      <c r="L426" s="2" t="n">
        <f>HYPERLINK("https://globaldossier.uspto.gov/result/patent/US/11134493/1","US11134493")</f>
        <v>0.0</v>
      </c>
      <c r="M426" t="s">
        <v>2402</v>
      </c>
      <c r="N426" t="s">
        <v>2403</v>
      </c>
      <c r="O426" t="s">
        <v>2404</v>
      </c>
      <c r="P426" t="s">
        <v>2405</v>
      </c>
      <c r="Q426" s="3" t="n">
        <v>43734.0</v>
      </c>
      <c r="R426" s="3" t="n">
        <v>44467.0</v>
      </c>
      <c r="S426" s="3" t="n">
        <v>44470.88715462963</v>
      </c>
      <c r="T426" s="3" t="n">
        <v>44495.73477787037</v>
      </c>
      <c r="U426" t="s">
        <v>2406</v>
      </c>
      <c r="V426" t="s">
        <v>2407</v>
      </c>
    </row>
    <row r="427">
      <c r="A427" t="s">
        <v>1929</v>
      </c>
      <c r="B427" t="s">
        <v>2408</v>
      </c>
      <c r="C427" t="s">
        <v>24</v>
      </c>
      <c r="D427" t="s">
        <v>25</v>
      </c>
      <c r="E427" t="s">
        <v>2409</v>
      </c>
      <c r="F427" s="2" t="n">
        <f>HYPERLINK("https://patents.google.com/patent/US11134425","Google")</f>
        <v>0.0</v>
      </c>
      <c r="G427" s="2" t="n">
        <f>HYPERLINK("https://patentcenter.uspto.gov/applications/16798975","Patent Center")</f>
        <v>0.0</v>
      </c>
      <c r="H427" s="2" t="n">
        <f>HYPERLINK("https://worldwide.espacenet.com/patent/search?q=US11134425","Espacenet")</f>
        <v>0.0</v>
      </c>
      <c r="I427" s="2" t="n">
        <f>HYPERLINK("https://ppubs.uspto.gov/pubwebapp/external.html?q=11134425.pn.","USPTO")</f>
        <v>0.0</v>
      </c>
      <c r="J427" s="2" t="n">
        <f>HYPERLINK("https://image-ppubs.uspto.gov/dirsearch-public/print/downloadPdf/11134425","USPTO PDF")</f>
        <v>0.0</v>
      </c>
      <c r="K427" s="2" t="n">
        <f>HYPERLINK("https://sectors.patentforecast.com/pmd/US11134425","PMD")</f>
        <v>0.0</v>
      </c>
      <c r="L427" s="2" t="n">
        <f>HYPERLINK("https://globaldossier.uspto.gov/result/patent/US/11134425/1","US11134425")</f>
        <v>0.0</v>
      </c>
      <c r="M427" t="s">
        <v>2410</v>
      </c>
      <c r="N427" t="s">
        <v>1455</v>
      </c>
      <c r="O427" t="s">
        <v>1456</v>
      </c>
      <c r="P427" t="s">
        <v>2411</v>
      </c>
      <c r="Q427" s="3" t="n">
        <v>43885.0</v>
      </c>
      <c r="R427" s="3" t="n">
        <v>44467.0</v>
      </c>
      <c r="S427" s="3" t="n">
        <v>44470.80775545139</v>
      </c>
      <c r="T427" s="3" t="n">
        <v>44495.664733020836</v>
      </c>
      <c r="U427" t="s">
        <v>2412</v>
      </c>
      <c r="V427" t="s">
        <v>2413</v>
      </c>
    </row>
    <row r="428">
      <c r="A428" t="s">
        <v>1929</v>
      </c>
      <c r="B428" t="s">
        <v>2414</v>
      </c>
      <c r="C428" t="s">
        <v>61</v>
      </c>
      <c r="D428" t="s">
        <v>61</v>
      </c>
      <c r="E428" t="s">
        <v>2415</v>
      </c>
      <c r="F428" s="2" t="n">
        <f>HYPERLINK("https://patents.google.com/patent/US11133986","Google")</f>
        <v>0.0</v>
      </c>
      <c r="G428" s="2" t="n">
        <f>HYPERLINK("https://patentcenter.uspto.gov/applications/16667114","Patent Center")</f>
        <v>0.0</v>
      </c>
      <c r="H428" s="2" t="n">
        <f>HYPERLINK("https://worldwide.espacenet.com/patent/search?q=US11133986","Espacenet")</f>
        <v>0.0</v>
      </c>
      <c r="I428" s="2" t="n">
        <f>HYPERLINK("https://ppubs.uspto.gov/pubwebapp/external.html?q=11133986.pn.","USPTO")</f>
        <v>0.0</v>
      </c>
      <c r="J428" s="2" t="n">
        <f>HYPERLINK("https://image-ppubs.uspto.gov/dirsearch-public/print/downloadPdf/11133986","USPTO PDF")</f>
        <v>0.0</v>
      </c>
      <c r="K428" s="2" t="n">
        <f>HYPERLINK("https://sectors.patentforecast.com/pmd/US11133986","PMD")</f>
        <v>0.0</v>
      </c>
      <c r="L428" s="2" t="n">
        <f>HYPERLINK("https://globaldossier.uspto.gov/result/patent/US/11133986/1","US11133986")</f>
        <v>0.0</v>
      </c>
      <c r="M428" t="s">
        <v>2416</v>
      </c>
      <c r="N428" t="s">
        <v>687</v>
      </c>
      <c r="O428" t="s">
        <v>688</v>
      </c>
      <c r="P428" t="s">
        <v>2417</v>
      </c>
      <c r="Q428" s="3" t="n">
        <v>43767.0</v>
      </c>
      <c r="R428" s="3" t="n">
        <v>44467.0</v>
      </c>
      <c r="S428" s="3" t="n">
        <v>44470.877894467594</v>
      </c>
      <c r="T428" s="3" t="n">
        <v>44495.720832175924</v>
      </c>
      <c r="U428" t="s">
        <v>2418</v>
      </c>
      <c r="V428" t="s">
        <v>2419</v>
      </c>
    </row>
    <row r="429">
      <c r="A429" t="s">
        <v>1929</v>
      </c>
      <c r="B429" t="s">
        <v>2420</v>
      </c>
      <c r="C429" t="s">
        <v>24</v>
      </c>
      <c r="D429" t="s">
        <v>25</v>
      </c>
      <c r="E429" t="s">
        <v>2421</v>
      </c>
      <c r="F429" s="2" t="n">
        <f>HYPERLINK("https://patents.google.com/patent/US11133572","Google")</f>
        <v>0.0</v>
      </c>
      <c r="G429" s="2" t="n">
        <f>HYPERLINK("https://patentcenter.uspto.gov/applications/16205145","Patent Center")</f>
        <v>0.0</v>
      </c>
      <c r="H429" s="2" t="n">
        <f>HYPERLINK("https://worldwide.espacenet.com/patent/search?q=US11133572","Espacenet")</f>
        <v>0.0</v>
      </c>
      <c r="I429" s="2" t="n">
        <f>HYPERLINK("https://ppubs.uspto.gov/pubwebapp/external.html?q=11133572.pn.","USPTO")</f>
        <v>0.0</v>
      </c>
      <c r="J429" s="2" t="n">
        <f>HYPERLINK("https://image-ppubs.uspto.gov/dirsearch-public/print/downloadPdf/11133572","USPTO PDF")</f>
        <v>0.0</v>
      </c>
      <c r="K429" s="2" t="n">
        <f>HYPERLINK("https://sectors.patentforecast.com/pmd/US11133572","PMD")</f>
        <v>0.0</v>
      </c>
      <c r="L429" s="2" t="n">
        <f>HYPERLINK("https://globaldossier.uspto.gov/result/patent/US/11133572/1","US11133572")</f>
        <v>0.0</v>
      </c>
      <c r="M429" t="s">
        <v>2422</v>
      </c>
      <c r="N429" t="s">
        <v>901</v>
      </c>
      <c r="O429" t="s">
        <v>902</v>
      </c>
      <c r="P429" t="s">
        <v>2423</v>
      </c>
      <c r="Q429" s="3" t="n">
        <v>43433.0</v>
      </c>
      <c r="R429" s="3" t="n">
        <v>44467.0</v>
      </c>
      <c r="S429" s="3" t="n">
        <v>44470.83703797454</v>
      </c>
      <c r="T429" s="3" t="n">
        <v>44495.65148945602</v>
      </c>
      <c r="U429" t="s">
        <v>2424</v>
      </c>
      <c r="V429" t="s">
        <v>2425</v>
      </c>
    </row>
    <row r="430">
      <c r="A430" t="s">
        <v>1929</v>
      </c>
      <c r="B430" t="s">
        <v>2426</v>
      </c>
      <c r="C430" t="s">
        <v>168</v>
      </c>
      <c r="D430" t="s">
        <v>168</v>
      </c>
      <c r="E430" t="s">
        <v>2427</v>
      </c>
      <c r="F430" s="2" t="n">
        <f>HYPERLINK("https://patents.google.com/patent/US11132164","Google")</f>
        <v>0.0</v>
      </c>
      <c r="G430" s="2" t="n">
        <f>HYPERLINK("https://patentcenter.uspto.gov/applications/15092343","Patent Center")</f>
        <v>0.0</v>
      </c>
      <c r="H430" s="2" t="n">
        <f>HYPERLINK("https://worldwide.espacenet.com/patent/search?q=US11132164","Espacenet")</f>
        <v>0.0</v>
      </c>
      <c r="I430" s="2" t="n">
        <f>HYPERLINK("https://ppubs.uspto.gov/pubwebapp/external.html?q=11132164.pn.","USPTO")</f>
        <v>0.0</v>
      </c>
      <c r="J430" s="2" t="n">
        <f>HYPERLINK("https://image-ppubs.uspto.gov/dirsearch-public/print/downloadPdf/11132164","USPTO PDF")</f>
        <v>0.0</v>
      </c>
      <c r="K430" s="2" t="n">
        <f>HYPERLINK("https://sectors.patentforecast.com/pmd/US11132164","PMD")</f>
        <v>0.0</v>
      </c>
      <c r="L430" s="2" t="n">
        <f>HYPERLINK("https://globaldossier.uspto.gov/result/patent/US/11132164/1","US11132164")</f>
        <v>0.0</v>
      </c>
      <c r="M430" t="s">
        <v>2428</v>
      </c>
      <c r="N430" t="s">
        <v>2429</v>
      </c>
      <c r="O430" t="s">
        <v>2430</v>
      </c>
      <c r="P430" t="s">
        <v>2431</v>
      </c>
      <c r="Q430" s="3" t="n">
        <v>42466.0</v>
      </c>
      <c r="R430" s="3" t="n">
        <v>44467.0</v>
      </c>
      <c r="S430" s="3" t="n">
        <v>44470.879398958336</v>
      </c>
      <c r="T430" s="3" t="n">
        <v>44495.732020752315</v>
      </c>
      <c r="U430" t="s">
        <v>2432</v>
      </c>
      <c r="V430" t="s">
        <v>2433</v>
      </c>
    </row>
    <row r="431">
      <c r="A431" t="s">
        <v>1929</v>
      </c>
      <c r="B431" t="s">
        <v>2434</v>
      </c>
      <c r="C431" t="s">
        <v>61</v>
      </c>
      <c r="D431" t="s">
        <v>61</v>
      </c>
      <c r="E431" t="s">
        <v>2435</v>
      </c>
      <c r="F431" s="2" t="n">
        <f>HYPERLINK("https://patents.google.com/patent/US11129031","Google")</f>
        <v>0.0</v>
      </c>
      <c r="G431" s="2" t="n">
        <f>HYPERLINK("https://patentcenter.uspto.gov/applications/15352378","Patent Center")</f>
        <v>0.0</v>
      </c>
      <c r="H431" s="2" t="n">
        <f>HYPERLINK("https://worldwide.espacenet.com/patent/search?q=US11129031","Espacenet")</f>
        <v>0.0</v>
      </c>
      <c r="I431" s="2" t="n">
        <f>HYPERLINK("https://ppubs.uspto.gov/pubwebapp/external.html?q=11129031.pn.","USPTO")</f>
        <v>0.0</v>
      </c>
      <c r="J431" s="2" t="n">
        <f>HYPERLINK("https://image-ppubs.uspto.gov/dirsearch-public/print/downloadPdf/11129031","USPTO PDF")</f>
        <v>0.0</v>
      </c>
      <c r="K431" s="2" t="n">
        <f>HYPERLINK("https://sectors.patentforecast.com/pmd/US11129031","PMD")</f>
        <v>0.0</v>
      </c>
      <c r="L431" s="2" t="n">
        <f>HYPERLINK("https://globaldossier.uspto.gov/result/patent/US/11129031/1","US11129031")</f>
        <v>0.0</v>
      </c>
      <c r="M431" t="s">
        <v>2436</v>
      </c>
      <c r="N431" t="s">
        <v>687</v>
      </c>
      <c r="O431" t="s">
        <v>688</v>
      </c>
      <c r="P431" t="s">
        <v>2437</v>
      </c>
      <c r="Q431" s="3" t="n">
        <v>42689.0</v>
      </c>
      <c r="R431" s="3" t="n">
        <v>44460.0</v>
      </c>
      <c r="S431" s="3" t="n">
        <v>44463.88541805556</v>
      </c>
      <c r="T431" s="3" t="n">
        <v>44495.86066303241</v>
      </c>
      <c r="U431" t="s">
        <v>2438</v>
      </c>
      <c r="V431" t="s">
        <v>2439</v>
      </c>
    </row>
    <row r="432">
      <c r="A432" t="s">
        <v>1929</v>
      </c>
      <c r="B432" t="s">
        <v>2440</v>
      </c>
      <c r="C432" t="s">
        <v>24</v>
      </c>
      <c r="D432" t="s">
        <v>25</v>
      </c>
      <c r="E432" t="s">
        <v>2441</v>
      </c>
      <c r="F432" s="2" t="n">
        <f>HYPERLINK("https://patents.google.com/patent/US11128692","Google")</f>
        <v>0.0</v>
      </c>
      <c r="G432" s="2" t="n">
        <f>HYPERLINK("https://patentcenter.uspto.gov/applications/16876335","Patent Center")</f>
        <v>0.0</v>
      </c>
      <c r="H432" s="2" t="n">
        <f>HYPERLINK("https://worldwide.espacenet.com/patent/search?q=US11128692","Espacenet")</f>
        <v>0.0</v>
      </c>
      <c r="I432" s="2" t="n">
        <f>HYPERLINK("https://ppubs.uspto.gov/pubwebapp/external.html?q=11128692.pn.","USPTO")</f>
        <v>0.0</v>
      </c>
      <c r="J432" s="2" t="n">
        <f>HYPERLINK("https://image-ppubs.uspto.gov/dirsearch-public/print/downloadPdf/11128692","USPTO PDF")</f>
        <v>0.0</v>
      </c>
      <c r="K432" s="2" t="n">
        <f>HYPERLINK("https://sectors.patentforecast.com/pmd/US11128692","PMD")</f>
        <v>0.0</v>
      </c>
      <c r="L432" s="2" t="n">
        <f>HYPERLINK("https://globaldossier.uspto.gov/result/patent/US/11128692/1","US11128692")</f>
        <v>0.0</v>
      </c>
      <c r="M432" t="s">
        <v>2442</v>
      </c>
      <c r="N432" t="s">
        <v>2443</v>
      </c>
      <c r="O432" t="s">
        <v>2443</v>
      </c>
      <c r="P432" t="s">
        <v>2444</v>
      </c>
      <c r="Q432" s="3" t="n">
        <v>43969.0</v>
      </c>
      <c r="R432" s="3" t="n">
        <v>44460.0</v>
      </c>
      <c r="S432" s="3" t="n">
        <v>44463.88750121528</v>
      </c>
      <c r="T432" s="3" t="n">
        <v>44495.86555394676</v>
      </c>
      <c r="U432" t="s">
        <v>2445</v>
      </c>
      <c r="V432" t="s">
        <v>2446</v>
      </c>
    </row>
    <row r="433">
      <c r="A433" t="s">
        <v>1929</v>
      </c>
      <c r="B433" t="s">
        <v>2447</v>
      </c>
      <c r="C433" t="s">
        <v>24</v>
      </c>
      <c r="D433" t="s">
        <v>25</v>
      </c>
      <c r="E433" t="s">
        <v>2448</v>
      </c>
      <c r="F433" s="2" t="n">
        <f>HYPERLINK("https://patents.google.com/patent/US11126904","Google")</f>
        <v>0.0</v>
      </c>
      <c r="G433" s="2" t="n">
        <f>HYPERLINK("https://patentcenter.uspto.gov/applications/16670609","Patent Center")</f>
        <v>0.0</v>
      </c>
      <c r="H433" s="2" t="n">
        <f>HYPERLINK("https://worldwide.espacenet.com/patent/search?q=US11126904","Espacenet")</f>
        <v>0.0</v>
      </c>
      <c r="I433" s="2" t="n">
        <f>HYPERLINK("https://ppubs.uspto.gov/pubwebapp/external.html?q=11126904.pn.","USPTO")</f>
        <v>0.0</v>
      </c>
      <c r="J433" s="2" t="n">
        <f>HYPERLINK("https://image-ppubs.uspto.gov/dirsearch-public/print/downloadPdf/11126904","USPTO PDF")</f>
        <v>0.0</v>
      </c>
      <c r="K433" s="2" t="n">
        <f>HYPERLINK("https://sectors.patentforecast.com/pmd/US11126904","PMD")</f>
        <v>0.0</v>
      </c>
      <c r="L433" s="2" t="n">
        <f>HYPERLINK("https://globaldossier.uspto.gov/result/patent/US/11126904/1","US11126904")</f>
        <v>0.0</v>
      </c>
      <c r="M433" t="s">
        <v>2449</v>
      </c>
      <c r="N433" t="s">
        <v>2450</v>
      </c>
      <c r="O433" t="s">
        <v>2451</v>
      </c>
      <c r="P433" t="s">
        <v>2452</v>
      </c>
      <c r="Q433" s="3" t="n">
        <v>43769.0</v>
      </c>
      <c r="R433" s="3" t="n">
        <v>44460.0</v>
      </c>
      <c r="S433" s="3" t="n">
        <v>44463.88345039352</v>
      </c>
      <c r="T433" s="3" t="n">
        <v>44495.85061071759</v>
      </c>
      <c r="U433" t="s">
        <v>2453</v>
      </c>
      <c r="V433" t="s">
        <v>2454</v>
      </c>
    </row>
    <row r="434">
      <c r="A434" t="s">
        <v>1929</v>
      </c>
      <c r="B434" t="s">
        <v>2455</v>
      </c>
      <c r="C434" t="s">
        <v>52</v>
      </c>
      <c r="D434" t="s">
        <v>52</v>
      </c>
      <c r="E434" t="s">
        <v>2456</v>
      </c>
      <c r="F434" s="2" t="n">
        <f>HYPERLINK("https://patents.google.com/patent/US11125854","Google")</f>
        <v>0.0</v>
      </c>
      <c r="G434" s="2" t="n">
        <f>HYPERLINK("https://patentcenter.uspto.gov/applications/16364921","Patent Center")</f>
        <v>0.0</v>
      </c>
      <c r="H434" s="2" t="n">
        <f>HYPERLINK("https://worldwide.espacenet.com/patent/search?q=US11125854","Espacenet")</f>
        <v>0.0</v>
      </c>
      <c r="I434" s="2" t="n">
        <f>HYPERLINK("https://ppubs.uspto.gov/pubwebapp/external.html?q=11125854.pn.","USPTO")</f>
        <v>0.0</v>
      </c>
      <c r="J434" s="2" t="n">
        <f>HYPERLINK("https://image-ppubs.uspto.gov/dirsearch-public/print/downloadPdf/11125854","USPTO PDF")</f>
        <v>0.0</v>
      </c>
      <c r="K434" s="2" t="n">
        <f>HYPERLINK("https://sectors.patentforecast.com/pmd/US11125854","PMD")</f>
        <v>0.0</v>
      </c>
      <c r="L434" s="2" t="n">
        <f>HYPERLINK("https://globaldossier.uspto.gov/result/patent/US/11125854/1","US11125854")</f>
        <v>0.0</v>
      </c>
      <c r="M434" t="s">
        <v>2457</v>
      </c>
      <c r="N434" t="s">
        <v>2458</v>
      </c>
      <c r="O434" t="s">
        <v>2459</v>
      </c>
      <c r="P434" t="s">
        <v>2460</v>
      </c>
      <c r="Q434" s="3" t="n">
        <v>43550.0</v>
      </c>
      <c r="R434" s="3" t="n">
        <v>44460.0</v>
      </c>
      <c r="S434" s="3" t="n">
        <v>44463.897570625</v>
      </c>
      <c r="T434" s="3" t="n">
        <v>44495.86539402778</v>
      </c>
      <c r="U434" t="s">
        <v>2461</v>
      </c>
      <c r="V434" t="s">
        <v>2462</v>
      </c>
    </row>
    <row r="435">
      <c r="A435" t="s">
        <v>1929</v>
      </c>
      <c r="B435" t="s">
        <v>2463</v>
      </c>
      <c r="C435" t="s">
        <v>24</v>
      </c>
      <c r="D435" t="s">
        <v>25</v>
      </c>
      <c r="E435" t="s">
        <v>2464</v>
      </c>
      <c r="F435" s="2" t="n">
        <f>HYPERLINK("https://patents.google.com/patent/US11122623","Google")</f>
        <v>0.0</v>
      </c>
      <c r="G435" s="2" t="n">
        <f>HYPERLINK("https://patentcenter.uspto.gov/applications/16099829","Patent Center")</f>
        <v>0.0</v>
      </c>
      <c r="H435" s="2" t="n">
        <f>HYPERLINK("https://worldwide.espacenet.com/patent/search?q=US11122623","Espacenet")</f>
        <v>0.0</v>
      </c>
      <c r="I435" s="2" t="n">
        <f>HYPERLINK("https://ppubs.uspto.gov/pubwebapp/external.html?q=11122623.pn.","USPTO")</f>
        <v>0.0</v>
      </c>
      <c r="J435" s="2" t="n">
        <f>HYPERLINK("https://image-ppubs.uspto.gov/dirsearch-public/print/downloadPdf/11122623","USPTO PDF")</f>
        <v>0.0</v>
      </c>
      <c r="K435" s="2" t="n">
        <f>HYPERLINK("https://sectors.patentforecast.com/pmd/US11122623","PMD")</f>
        <v>0.0</v>
      </c>
      <c r="L435" s="2" t="n">
        <f>HYPERLINK("https://globaldossier.uspto.gov/result/patent/US/11122623/1","US11122623")</f>
        <v>0.0</v>
      </c>
      <c r="M435" t="s">
        <v>2465</v>
      </c>
      <c r="N435" t="s">
        <v>88</v>
      </c>
      <c r="O435" t="s">
        <v>89</v>
      </c>
      <c r="P435" t="s">
        <v>2466</v>
      </c>
      <c r="Q435" s="3" t="n">
        <v>43334.0</v>
      </c>
      <c r="R435" s="3" t="n">
        <v>44453.0</v>
      </c>
      <c r="S435" s="3" t="n">
        <v>44463.90173745371</v>
      </c>
      <c r="T435" s="3" t="n">
        <v>44495.84954060185</v>
      </c>
      <c r="U435" t="s">
        <v>2467</v>
      </c>
      <c r="V435" t="s">
        <v>2468</v>
      </c>
    </row>
    <row r="436">
      <c r="A436" t="s">
        <v>1929</v>
      </c>
      <c r="B436" t="s">
        <v>2469</v>
      </c>
      <c r="C436" t="s">
        <v>52</v>
      </c>
      <c r="D436" t="s">
        <v>52</v>
      </c>
      <c r="E436" t="s">
        <v>2470</v>
      </c>
      <c r="F436" s="2" t="n">
        <f>HYPERLINK("https://patents.google.com/patent/US11122389","Google")</f>
        <v>0.0</v>
      </c>
      <c r="G436" s="2" t="n">
        <f>HYPERLINK("https://patentcenter.uspto.gov/applications/16713363","Patent Center")</f>
        <v>0.0</v>
      </c>
      <c r="H436" s="2" t="n">
        <f>HYPERLINK("https://worldwide.espacenet.com/patent/search?q=US11122389","Espacenet")</f>
        <v>0.0</v>
      </c>
      <c r="I436" s="2" t="n">
        <f>HYPERLINK("https://ppubs.uspto.gov/pubwebapp/external.html?q=11122389.pn.","USPTO")</f>
        <v>0.0</v>
      </c>
      <c r="J436" s="2" t="n">
        <f>HYPERLINK("https://image-ppubs.uspto.gov/dirsearch-public/print/downloadPdf/11122389","USPTO PDF")</f>
        <v>0.0</v>
      </c>
      <c r="K436" s="2" t="n">
        <f>HYPERLINK("https://sectors.patentforecast.com/pmd/US11122389","PMD")</f>
        <v>0.0</v>
      </c>
      <c r="L436" s="2" t="n">
        <f>HYPERLINK("https://globaldossier.uspto.gov/result/patent/US/11122389/1","US11122389")</f>
        <v>0.0</v>
      </c>
      <c r="M436" t="s">
        <v>2471</v>
      </c>
      <c r="N436" t="s">
        <v>55</v>
      </c>
      <c r="O436" t="s">
        <v>56</v>
      </c>
      <c r="P436" t="s">
        <v>2472</v>
      </c>
      <c r="Q436" s="3" t="n">
        <v>43812.0</v>
      </c>
      <c r="R436" s="3" t="n">
        <v>44453.0</v>
      </c>
      <c r="S436" s="3" t="n">
        <v>44463.90613542824</v>
      </c>
      <c r="T436" s="3" t="n">
        <v>44495.85903292824</v>
      </c>
      <c r="U436" t="s">
        <v>2473</v>
      </c>
      <c r="V436" t="s">
        <v>2474</v>
      </c>
    </row>
    <row r="437">
      <c r="A437" t="s">
        <v>1929</v>
      </c>
      <c r="B437" t="s">
        <v>2475</v>
      </c>
      <c r="C437" t="s">
        <v>24</v>
      </c>
      <c r="D437" t="s">
        <v>25</v>
      </c>
      <c r="E437" t="s">
        <v>2476</v>
      </c>
      <c r="F437" s="2" t="n">
        <f>HYPERLINK("https://patents.google.com/patent/US11121974","Google")</f>
        <v>0.0</v>
      </c>
      <c r="G437" s="2" t="n">
        <f>HYPERLINK("https://patentcenter.uspto.gov/applications/16791776","Patent Center")</f>
        <v>0.0</v>
      </c>
      <c r="H437" s="2" t="n">
        <f>HYPERLINK("https://worldwide.espacenet.com/patent/search?q=US11121974","Espacenet")</f>
        <v>0.0</v>
      </c>
      <c r="I437" s="2" t="n">
        <f>HYPERLINK("https://ppubs.uspto.gov/pubwebapp/external.html?q=11121974.pn.","USPTO")</f>
        <v>0.0</v>
      </c>
      <c r="J437" s="2" t="n">
        <f>HYPERLINK("https://image-ppubs.uspto.gov/dirsearch-public/print/downloadPdf/11121974","USPTO PDF")</f>
        <v>0.0</v>
      </c>
      <c r="K437" s="2" t="n">
        <f>HYPERLINK("https://sectors.patentforecast.com/pmd/US11121974","PMD")</f>
        <v>0.0</v>
      </c>
      <c r="L437" s="2" t="n">
        <f>HYPERLINK("https://globaldossier.uspto.gov/result/patent/US/11121974/1","US11121974")</f>
        <v>0.0</v>
      </c>
      <c r="M437" t="s">
        <v>2477</v>
      </c>
      <c r="N437" t="s">
        <v>2478</v>
      </c>
      <c r="O437" t="s">
        <v>2479</v>
      </c>
      <c r="P437" t="s">
        <v>2480</v>
      </c>
      <c r="Q437" s="3" t="n">
        <v>43875.0</v>
      </c>
      <c r="R437" s="3" t="n">
        <v>44453.0</v>
      </c>
      <c r="S437" s="3" t="n">
        <v>44470.88715462963</v>
      </c>
      <c r="T437" s="3" t="n">
        <v>44495.60875141204</v>
      </c>
      <c r="U437" t="s">
        <v>2481</v>
      </c>
      <c r="V437" t="s">
        <v>2482</v>
      </c>
    </row>
    <row r="438">
      <c r="A438" t="s">
        <v>1929</v>
      </c>
      <c r="B438" t="s">
        <v>2483</v>
      </c>
      <c r="C438" t="s">
        <v>168</v>
      </c>
      <c r="D438" t="s">
        <v>168</v>
      </c>
      <c r="E438" t="s">
        <v>2484</v>
      </c>
      <c r="F438" s="2" t="n">
        <f>HYPERLINK("https://patents.google.com/patent/US11115854","Google")</f>
        <v>0.0</v>
      </c>
      <c r="G438" s="2" t="n">
        <f>HYPERLINK("https://patentcenter.uspto.gov/applications/16228755","Patent Center")</f>
        <v>0.0</v>
      </c>
      <c r="H438" s="2" t="n">
        <f>HYPERLINK("https://worldwide.espacenet.com/patent/search?q=US11115854","Espacenet")</f>
        <v>0.0</v>
      </c>
      <c r="I438" s="2" t="n">
        <f>HYPERLINK("https://ppubs.uspto.gov/pubwebapp/external.html?q=11115854.pn.","USPTO")</f>
        <v>0.0</v>
      </c>
      <c r="J438" s="2" t="n">
        <f>HYPERLINK("https://image-ppubs.uspto.gov/dirsearch-public/print/downloadPdf/11115854","USPTO PDF")</f>
        <v>0.0</v>
      </c>
      <c r="K438" s="2" t="n">
        <f>HYPERLINK("https://sectors.patentforecast.com/pmd/US11115854","PMD")</f>
        <v>0.0</v>
      </c>
      <c r="L438" s="2" t="n">
        <f>HYPERLINK("https://globaldossier.uspto.gov/result/patent/US/11115854/1","US11115854")</f>
        <v>0.0</v>
      </c>
      <c r="M438" t="s">
        <v>2485</v>
      </c>
      <c r="N438" t="s">
        <v>2486</v>
      </c>
      <c r="O438" t="s">
        <v>2487</v>
      </c>
      <c r="P438" t="s">
        <v>2488</v>
      </c>
      <c r="Q438" s="3" t="n">
        <v>43454.0</v>
      </c>
      <c r="R438" s="3" t="n">
        <v>44446.0</v>
      </c>
      <c r="S438" s="3" t="n">
        <v>44450.003016608796</v>
      </c>
      <c r="T438" s="3" t="n">
        <v>44496.7069696875</v>
      </c>
      <c r="U438" t="s">
        <v>2489</v>
      </c>
      <c r="V438" t="s">
        <v>2490</v>
      </c>
    </row>
    <row r="439">
      <c r="A439" t="s">
        <v>1929</v>
      </c>
      <c r="B439" t="s">
        <v>2491</v>
      </c>
      <c r="C439" t="s">
        <v>24</v>
      </c>
      <c r="D439" t="s">
        <v>25</v>
      </c>
      <c r="E439" t="s">
        <v>2492</v>
      </c>
      <c r="F439" s="2" t="n">
        <f>HYPERLINK("https://patents.google.com/patent/US11105888","Google")</f>
        <v>0.0</v>
      </c>
      <c r="G439" s="2" t="n">
        <f>HYPERLINK("https://patentcenter.uspto.gov/applications/16709731","Patent Center")</f>
        <v>0.0</v>
      </c>
      <c r="H439" s="2" t="n">
        <f>HYPERLINK("https://worldwide.espacenet.com/patent/search?q=US11105888","Espacenet")</f>
        <v>0.0</v>
      </c>
      <c r="I439" s="2" t="n">
        <f>HYPERLINK("https://ppubs.uspto.gov/pubwebapp/external.html?q=11105888.pn.","USPTO")</f>
        <v>0.0</v>
      </c>
      <c r="J439" s="2" t="n">
        <f>HYPERLINK("https://image-ppubs.uspto.gov/dirsearch-public/print/downloadPdf/11105888","USPTO PDF")</f>
        <v>0.0</v>
      </c>
      <c r="K439" s="2" t="n">
        <f>HYPERLINK("https://sectors.patentforecast.com/pmd/US11105888","PMD")</f>
        <v>0.0</v>
      </c>
      <c r="L439" s="2" t="n">
        <f>HYPERLINK("https://globaldossier.uspto.gov/result/patent/US/11105888/1","US11105888")</f>
        <v>0.0</v>
      </c>
      <c r="M439" t="s">
        <v>2493</v>
      </c>
      <c r="N439" t="s">
        <v>2494</v>
      </c>
      <c r="O439" t="s">
        <v>2495</v>
      </c>
      <c r="P439" t="s">
        <v>2496</v>
      </c>
      <c r="Q439" s="3" t="n">
        <v>43809.0</v>
      </c>
      <c r="R439" s="3" t="n">
        <v>44439.0</v>
      </c>
      <c r="S439" s="3" t="n">
        <v>44442.84133244213</v>
      </c>
      <c r="T439" s="3" t="n">
        <v>44495.870912708335</v>
      </c>
      <c r="U439" t="s">
        <v>2497</v>
      </c>
      <c r="V439" t="s">
        <v>2498</v>
      </c>
    </row>
    <row r="440">
      <c r="A440" t="s">
        <v>1929</v>
      </c>
      <c r="B440" t="s">
        <v>2499</v>
      </c>
      <c r="C440" t="s">
        <v>24</v>
      </c>
      <c r="D440" t="s">
        <v>25</v>
      </c>
      <c r="E440" t="s">
        <v>2500</v>
      </c>
      <c r="F440" s="2" t="n">
        <f>HYPERLINK("https://patents.google.com/patent/US11064630","Google")</f>
        <v>0.0</v>
      </c>
      <c r="G440" s="2" t="n">
        <f>HYPERLINK("https://patentcenter.uspto.gov/applications/16732785","Patent Center")</f>
        <v>0.0</v>
      </c>
      <c r="H440" s="2" t="n">
        <f>HYPERLINK("https://worldwide.espacenet.com/patent/search?q=US11064630","Espacenet")</f>
        <v>0.0</v>
      </c>
      <c r="I440" s="2" t="n">
        <f>HYPERLINK("https://ppubs.uspto.gov/pubwebapp/external.html?q=11064630.pn.","USPTO")</f>
        <v>0.0</v>
      </c>
      <c r="J440" s="2" t="n">
        <f>HYPERLINK("https://image-ppubs.uspto.gov/dirsearch-public/print/downloadPdf/11064630","USPTO PDF")</f>
        <v>0.0</v>
      </c>
      <c r="K440" s="2" t="n">
        <f>HYPERLINK("https://sectors.patentforecast.com/pmd/US11064630","PMD")</f>
        <v>0.0</v>
      </c>
      <c r="L440" s="2" t="n">
        <f>HYPERLINK("https://globaldossier.uspto.gov/result/patent/US/11064630/1","US11064630")</f>
        <v>0.0</v>
      </c>
      <c r="M440" t="s">
        <v>439</v>
      </c>
      <c r="N440" t="s">
        <v>283</v>
      </c>
      <c r="O440" t="s">
        <v>284</v>
      </c>
      <c r="P440" t="s">
        <v>2501</v>
      </c>
      <c r="Q440" s="3" t="n">
        <v>43832.0</v>
      </c>
      <c r="R440" s="3" t="n">
        <v>44390.0</v>
      </c>
      <c r="S440" s="3" t="n">
        <v>44393.82304296296</v>
      </c>
      <c r="T440" s="3" t="n">
        <v>44497.55394533565</v>
      </c>
      <c r="U440" t="s">
        <v>2502</v>
      </c>
      <c r="V440" t="s">
        <v>441</v>
      </c>
    </row>
    <row r="441">
      <c r="A441" t="s">
        <v>1929</v>
      </c>
      <c r="B441" t="s">
        <v>2503</v>
      </c>
      <c r="C441" t="s">
        <v>52</v>
      </c>
      <c r="D441" t="s">
        <v>52</v>
      </c>
      <c r="E441" t="s">
        <v>2470</v>
      </c>
      <c r="F441" s="2" t="n">
        <f>HYPERLINK("https://patents.google.com/patent/US11039276","Google")</f>
        <v>0.0</v>
      </c>
      <c r="G441" s="2" t="n">
        <f>HYPERLINK("https://patentcenter.uspto.gov/applications/16713354","Patent Center")</f>
        <v>0.0</v>
      </c>
      <c r="H441" s="2" t="n">
        <f>HYPERLINK("https://worldwide.espacenet.com/patent/search?q=US11039276","Espacenet")</f>
        <v>0.0</v>
      </c>
      <c r="I441" s="2" t="n">
        <f>HYPERLINK("https://ppubs.uspto.gov/pubwebapp/external.html?q=11039276.pn.","USPTO")</f>
        <v>0.0</v>
      </c>
      <c r="J441" s="2" t="n">
        <f>HYPERLINK("https://image-ppubs.uspto.gov/dirsearch-public/print/downloadPdf/11039276","USPTO PDF")</f>
        <v>0.0</v>
      </c>
      <c r="K441" s="2" t="n">
        <f>HYPERLINK("https://sectors.patentforecast.com/pmd/US11039276","PMD")</f>
        <v>0.0</v>
      </c>
      <c r="L441" s="2" t="n">
        <f>HYPERLINK("https://globaldossier.uspto.gov/result/patent/US/11039276/1","US11039276")</f>
        <v>0.0</v>
      </c>
      <c r="M441" t="s">
        <v>2504</v>
      </c>
      <c r="N441" t="s">
        <v>55</v>
      </c>
      <c r="O441" t="s">
        <v>56</v>
      </c>
      <c r="P441" t="s">
        <v>2505</v>
      </c>
      <c r="Q441" s="3" t="n">
        <v>43812.0</v>
      </c>
      <c r="R441" s="3" t="n">
        <v>44362.0</v>
      </c>
      <c r="S441" s="3" t="n">
        <v>44365.832986215275</v>
      </c>
      <c r="T441" s="3" t="n">
        <v>44497.570951041664</v>
      </c>
      <c r="U441" t="s">
        <v>2506</v>
      </c>
      <c r="V441" t="s">
        <v>59</v>
      </c>
    </row>
    <row r="442">
      <c r="A442" t="s">
        <v>1929</v>
      </c>
      <c r="B442" t="s">
        <v>2507</v>
      </c>
      <c r="C442" t="s">
        <v>61</v>
      </c>
      <c r="D442" t="s">
        <v>61</v>
      </c>
      <c r="E442" t="s">
        <v>2508</v>
      </c>
      <c r="F442" s="2" t="n">
        <f>HYPERLINK("https://patents.google.com/patent/US11039198","Google")</f>
        <v>0.0</v>
      </c>
      <c r="G442" s="2" t="n">
        <f>HYPERLINK("https://patentcenter.uspto.gov/applications/16108153","Patent Center")</f>
        <v>0.0</v>
      </c>
      <c r="H442" s="2" t="n">
        <f>HYPERLINK("https://worldwide.espacenet.com/patent/search?q=US11039198","Espacenet")</f>
        <v>0.0</v>
      </c>
      <c r="I442" s="2" t="n">
        <f>HYPERLINK("https://ppubs.uspto.gov/pubwebapp/external.html?q=11039198.pn.","USPTO")</f>
        <v>0.0</v>
      </c>
      <c r="J442" s="2" t="n">
        <f>HYPERLINK("https://image-ppubs.uspto.gov/dirsearch-public/print/downloadPdf/11039198","USPTO PDF")</f>
        <v>0.0</v>
      </c>
      <c r="K442" s="2" t="n">
        <f>HYPERLINK("https://sectors.patentforecast.com/pmd/US11039198","PMD")</f>
        <v>0.0</v>
      </c>
      <c r="L442" s="2" t="n">
        <f>HYPERLINK("https://globaldossier.uspto.gov/result/patent/US/11039198/1","US11039198")</f>
        <v>0.0</v>
      </c>
      <c r="M442" t="s">
        <v>2509</v>
      </c>
      <c r="N442" t="s">
        <v>2443</v>
      </c>
      <c r="O442" t="s">
        <v>2443</v>
      </c>
      <c r="P442" t="s">
        <v>2510</v>
      </c>
      <c r="Q442" s="3" t="n">
        <v>43334.0</v>
      </c>
      <c r="R442" s="3" t="n">
        <v>44362.0</v>
      </c>
      <c r="S442" s="3" t="n">
        <v>44365.8150465162</v>
      </c>
      <c r="T442" s="3" t="n">
        <v>44497.57436251157</v>
      </c>
      <c r="U442" t="s">
        <v>2511</v>
      </c>
      <c r="V442" t="s">
        <v>2512</v>
      </c>
    </row>
    <row r="443">
      <c r="A443" t="s">
        <v>1929</v>
      </c>
      <c r="B443" t="s">
        <v>2513</v>
      </c>
      <c r="C443" t="s">
        <v>168</v>
      </c>
      <c r="D443" t="s">
        <v>168</v>
      </c>
      <c r="E443" t="s">
        <v>2514</v>
      </c>
      <c r="F443" s="2" t="n">
        <f>HYPERLINK("https://patents.google.com/patent/US11025291","Google")</f>
        <v>0.0</v>
      </c>
      <c r="G443" s="2" t="n">
        <f>HYPERLINK("https://patentcenter.uspto.gov/applications/16739944","Patent Center")</f>
        <v>0.0</v>
      </c>
      <c r="H443" s="2" t="n">
        <f>HYPERLINK("https://worldwide.espacenet.com/patent/search?q=US11025291","Espacenet")</f>
        <v>0.0</v>
      </c>
      <c r="I443" s="2" t="n">
        <f>HYPERLINK("https://ppubs.uspto.gov/pubwebapp/external.html?q=11025291.pn.","USPTO")</f>
        <v>0.0</v>
      </c>
      <c r="J443" s="2" t="n">
        <f>HYPERLINK("https://image-ppubs.uspto.gov/dirsearch-public/print/downloadPdf/11025291","USPTO PDF")</f>
        <v>0.0</v>
      </c>
      <c r="K443" s="2" t="n">
        <f>HYPERLINK("https://sectors.patentforecast.com/pmd/US11025291","PMD")</f>
        <v>0.0</v>
      </c>
      <c r="L443" s="2" t="n">
        <f>HYPERLINK("https://globaldossier.uspto.gov/result/patent/US/11025291/1","US11025291")</f>
        <v>0.0</v>
      </c>
      <c r="M443" t="s">
        <v>365</v>
      </c>
      <c r="N443" t="s">
        <v>366</v>
      </c>
      <c r="O443" t="s">
        <v>367</v>
      </c>
      <c r="P443" t="s">
        <v>1961</v>
      </c>
      <c r="Q443" s="3" t="n">
        <v>43840.0</v>
      </c>
      <c r="R443" s="3" t="n">
        <v>44348.0</v>
      </c>
      <c r="S443" s="3" t="n">
        <v>44358.863084791665</v>
      </c>
      <c r="T443" s="3" t="n">
        <v>44497.497571238426</v>
      </c>
      <c r="U443" t="s">
        <v>2515</v>
      </c>
      <c r="V443" t="s">
        <v>370</v>
      </c>
    </row>
    <row r="444">
      <c r="A444" t="s">
        <v>1929</v>
      </c>
      <c r="B444" t="s">
        <v>2516</v>
      </c>
      <c r="C444" t="s">
        <v>24</v>
      </c>
      <c r="D444" t="s">
        <v>25</v>
      </c>
      <c r="E444" t="s">
        <v>2517</v>
      </c>
      <c r="F444" s="2" t="n">
        <f>HYPERLINK("https://patents.google.com/patent/US11025092","Google")</f>
        <v>0.0</v>
      </c>
      <c r="G444" s="2" t="n">
        <f>HYPERLINK("https://patentcenter.uspto.gov/applications/17086136","Patent Center")</f>
        <v>0.0</v>
      </c>
      <c r="H444" s="2" t="n">
        <f>HYPERLINK("https://worldwide.espacenet.com/patent/search?q=US11025092","Espacenet")</f>
        <v>0.0</v>
      </c>
      <c r="I444" s="2" t="n">
        <f>HYPERLINK("https://ppubs.uspto.gov/pubwebapp/external.html?q=11025092.pn.","USPTO")</f>
        <v>0.0</v>
      </c>
      <c r="J444" s="2" t="n">
        <f>HYPERLINK("https://image-ppubs.uspto.gov/dirsearch-public/print/downloadPdf/11025092","USPTO PDF")</f>
        <v>0.0</v>
      </c>
      <c r="K444" s="2" t="n">
        <f>HYPERLINK("https://sectors.patentforecast.com/pmd/US11025092","PMD")</f>
        <v>0.0</v>
      </c>
      <c r="L444" s="2" t="n">
        <f>HYPERLINK("https://globaldossier.uspto.gov/result/patent/US/11025092/1","US11025092")</f>
        <v>0.0</v>
      </c>
      <c r="M444" t="s">
        <v>218</v>
      </c>
      <c r="N444" t="s">
        <v>2518</v>
      </c>
      <c r="O444" t="s">
        <v>220</v>
      </c>
      <c r="P444" t="s">
        <v>2519</v>
      </c>
      <c r="Q444" s="3" t="n">
        <v>44134.0</v>
      </c>
      <c r="R444" s="3" t="n">
        <v>44348.0</v>
      </c>
      <c r="S444" s="3" t="n">
        <v>44351.86979052083</v>
      </c>
      <c r="T444" s="3" t="n">
        <v>44497.48226253472</v>
      </c>
      <c r="U444" t="s">
        <v>2520</v>
      </c>
      <c r="V444" t="s">
        <v>223</v>
      </c>
    </row>
    <row r="445">
      <c r="A445" t="s">
        <v>1929</v>
      </c>
      <c r="B445" t="s">
        <v>2521</v>
      </c>
      <c r="C445" t="s">
        <v>24</v>
      </c>
      <c r="D445" t="s">
        <v>25</v>
      </c>
      <c r="E445" t="s">
        <v>2522</v>
      </c>
      <c r="F445" s="2" t="n">
        <f>HYPERLINK("https://patents.google.com/patent/US11025076","Google")</f>
        <v>0.0</v>
      </c>
      <c r="G445" s="2" t="n">
        <f>HYPERLINK("https://patentcenter.uspto.gov/applications/16191058","Patent Center")</f>
        <v>0.0</v>
      </c>
      <c r="H445" s="2" t="n">
        <f>HYPERLINK("https://worldwide.espacenet.com/patent/search?q=US11025076","Espacenet")</f>
        <v>0.0</v>
      </c>
      <c r="I445" s="2" t="n">
        <f>HYPERLINK("https://ppubs.uspto.gov/pubwebapp/external.html?q=11025076.pn.","USPTO")</f>
        <v>0.0</v>
      </c>
      <c r="J445" s="2" t="n">
        <f>HYPERLINK("https://image-ppubs.uspto.gov/dirsearch-public/print/downloadPdf/11025076","USPTO PDF")</f>
        <v>0.0</v>
      </c>
      <c r="K445" s="2" t="n">
        <f>HYPERLINK("https://sectors.patentforecast.com/pmd/US11025076","PMD")</f>
        <v>0.0</v>
      </c>
      <c r="L445" s="2" t="n">
        <f>HYPERLINK("https://globaldossier.uspto.gov/result/patent/US/11025076/1","US11025076")</f>
        <v>0.0</v>
      </c>
      <c r="M445" t="s">
        <v>895</v>
      </c>
      <c r="N445" t="s">
        <v>283</v>
      </c>
      <c r="O445" t="s">
        <v>284</v>
      </c>
      <c r="P445" t="s">
        <v>2501</v>
      </c>
      <c r="Q445" s="3" t="n">
        <v>43418.0</v>
      </c>
      <c r="R445" s="3" t="n">
        <v>44348.0</v>
      </c>
      <c r="S445" s="3" t="n">
        <v>44351.83148122685</v>
      </c>
      <c r="T445" s="3" t="n">
        <v>44497.48199758102</v>
      </c>
      <c r="U445" t="s">
        <v>2523</v>
      </c>
      <c r="V445" t="s">
        <v>897</v>
      </c>
    </row>
    <row r="446">
      <c r="A446" t="s">
        <v>1929</v>
      </c>
      <c r="B446" t="s">
        <v>2524</v>
      </c>
      <c r="C446" t="s">
        <v>24</v>
      </c>
      <c r="D446" t="s">
        <v>25</v>
      </c>
      <c r="E446" t="s">
        <v>2525</v>
      </c>
      <c r="F446" s="2" t="n">
        <f>HYPERLINK("https://patents.google.com/patent/US11025075","Google")</f>
        <v>0.0</v>
      </c>
      <c r="G446" s="2" t="n">
        <f>HYPERLINK("https://patentcenter.uspto.gov/applications/15836299","Patent Center")</f>
        <v>0.0</v>
      </c>
      <c r="H446" s="2" t="n">
        <f>HYPERLINK("https://worldwide.espacenet.com/patent/search?q=US11025075","Espacenet")</f>
        <v>0.0</v>
      </c>
      <c r="I446" s="2" t="n">
        <f>HYPERLINK("https://ppubs.uspto.gov/pubwebapp/external.html?q=11025075.pn.","USPTO")</f>
        <v>0.0</v>
      </c>
      <c r="J446" s="2" t="n">
        <f>HYPERLINK("https://image-ppubs.uspto.gov/dirsearch-public/print/downloadPdf/11025075","USPTO PDF")</f>
        <v>0.0</v>
      </c>
      <c r="K446" s="2" t="n">
        <f>HYPERLINK("https://sectors.patentforecast.com/pmd/US11025075","PMD")</f>
        <v>0.0</v>
      </c>
      <c r="L446" s="2" t="n">
        <f>HYPERLINK("https://globaldossier.uspto.gov/result/patent/US/11025075/1","US11025075")</f>
        <v>0.0</v>
      </c>
      <c r="M446" t="s">
        <v>1074</v>
      </c>
      <c r="N446" t="s">
        <v>283</v>
      </c>
      <c r="O446" t="s">
        <v>284</v>
      </c>
      <c r="P446" t="s">
        <v>2501</v>
      </c>
      <c r="Q446" s="3" t="n">
        <v>43077.0</v>
      </c>
      <c r="R446" s="3" t="n">
        <v>44348.0</v>
      </c>
      <c r="S446" s="3" t="n">
        <v>44351.83148122685</v>
      </c>
      <c r="T446" s="3" t="n">
        <v>44497.48199758102</v>
      </c>
      <c r="U446" t="s">
        <v>2526</v>
      </c>
      <c r="V446" t="s">
        <v>2527</v>
      </c>
    </row>
    <row r="447">
      <c r="A447" t="s">
        <v>1929</v>
      </c>
      <c r="B447" t="s">
        <v>2528</v>
      </c>
      <c r="C447" t="s">
        <v>24</v>
      </c>
      <c r="D447" t="s">
        <v>25</v>
      </c>
      <c r="E447" t="s">
        <v>2529</v>
      </c>
      <c r="F447" s="2" t="n">
        <f>HYPERLINK("https://patents.google.com/patent/US10991992","Google")</f>
        <v>0.0</v>
      </c>
      <c r="G447" s="2" t="n">
        <f>HYPERLINK("https://patentcenter.uspto.gov/applications/16220616","Patent Center")</f>
        <v>0.0</v>
      </c>
      <c r="H447" s="2" t="n">
        <f>HYPERLINK("https://worldwide.espacenet.com/patent/search?q=US10991992","Espacenet")</f>
        <v>0.0</v>
      </c>
      <c r="I447" s="2" t="n">
        <f>HYPERLINK("https://ppubs.uspto.gov/pubwebapp/external.html?q=10991992.pn.","USPTO")</f>
        <v>0.0</v>
      </c>
      <c r="J447" s="2" t="n">
        <f>HYPERLINK("https://image-ppubs.uspto.gov/dirsearch-public/print/downloadPdf/10991992","USPTO PDF")</f>
        <v>0.0</v>
      </c>
      <c r="K447" s="2" t="n">
        <f>HYPERLINK("https://sectors.patentforecast.com/pmd/US10991992","PMD")</f>
        <v>0.0</v>
      </c>
      <c r="L447" s="2" t="n">
        <f>HYPERLINK("https://globaldossier.uspto.gov/result/patent/US/10991992/1","US10991992")</f>
        <v>0.0</v>
      </c>
      <c r="M447" t="s">
        <v>859</v>
      </c>
      <c r="N447" t="s">
        <v>283</v>
      </c>
      <c r="O447" t="s">
        <v>284</v>
      </c>
      <c r="P447" t="s">
        <v>2501</v>
      </c>
      <c r="Q447" s="3" t="n">
        <v>43448.0</v>
      </c>
      <c r="R447" s="3" t="n">
        <v>44313.0</v>
      </c>
      <c r="S447" s="3" t="n">
        <v>44316.818289953706</v>
      </c>
      <c r="T447" s="3" t="n">
        <v>44497.40453166667</v>
      </c>
      <c r="U447" t="s">
        <v>2530</v>
      </c>
      <c r="V447" t="s">
        <v>291</v>
      </c>
    </row>
    <row r="448">
      <c r="A448" t="s">
        <v>1929</v>
      </c>
      <c r="B448" t="s">
        <v>2531</v>
      </c>
      <c r="C448" t="s">
        <v>24</v>
      </c>
      <c r="D448" t="s">
        <v>25</v>
      </c>
      <c r="E448" t="s">
        <v>2532</v>
      </c>
      <c r="F448" s="2" t="n">
        <f>HYPERLINK("https://patents.google.com/patent/US10966529","Google")</f>
        <v>0.0</v>
      </c>
      <c r="G448" s="2" t="n">
        <f>HYPERLINK("https://patentcenter.uspto.gov/applications/16584696","Patent Center")</f>
        <v>0.0</v>
      </c>
      <c r="H448" s="2" t="n">
        <f>HYPERLINK("https://worldwide.espacenet.com/patent/search?q=US10966529","Espacenet")</f>
        <v>0.0</v>
      </c>
      <c r="I448" s="2" t="n">
        <f>HYPERLINK("https://ppubs.uspto.gov/pubwebapp/external.html?q=10966529.pn.","USPTO")</f>
        <v>0.0</v>
      </c>
      <c r="J448" s="2" t="n">
        <f>HYPERLINK("https://image-ppubs.uspto.gov/dirsearch-public/print/downloadPdf/10966529","USPTO PDF")</f>
        <v>0.0</v>
      </c>
      <c r="K448" s="2" t="n">
        <f>HYPERLINK("https://sectors.patentforecast.com/pmd/US10966529","PMD")</f>
        <v>0.0</v>
      </c>
      <c r="L448" s="2" t="n">
        <f>HYPERLINK("https://globaldossier.uspto.gov/result/patent/US/10966529/1","US10966529")</f>
        <v>0.0</v>
      </c>
      <c r="M448" t="s">
        <v>2533</v>
      </c>
      <c r="N448" t="s">
        <v>227</v>
      </c>
      <c r="O448" t="s">
        <v>228</v>
      </c>
      <c r="P448" t="s">
        <v>2534</v>
      </c>
      <c r="Q448" s="3" t="n">
        <v>43734.0</v>
      </c>
      <c r="R448" s="3" t="n">
        <v>44292.0</v>
      </c>
      <c r="S448" s="3" t="n">
        <v>44324.07928855324</v>
      </c>
      <c r="T448" s="3" t="n">
        <v>44497.42014768519</v>
      </c>
      <c r="U448" t="s">
        <v>2535</v>
      </c>
      <c r="V448" t="s">
        <v>2536</v>
      </c>
    </row>
    <row r="449">
      <c r="A449" t="s">
        <v>1929</v>
      </c>
      <c r="B449" t="s">
        <v>2537</v>
      </c>
      <c r="C449" t="s">
        <v>24</v>
      </c>
      <c r="D449" t="s">
        <v>25</v>
      </c>
      <c r="E449" t="s">
        <v>2538</v>
      </c>
      <c r="F449" s="2" t="n">
        <f>HYPERLINK("https://patents.google.com/patent/US10966092","Google")</f>
        <v>0.0</v>
      </c>
      <c r="G449" s="2" t="n">
        <f>HYPERLINK("https://patentcenter.uspto.gov/applications/16194708","Patent Center")</f>
        <v>0.0</v>
      </c>
      <c r="H449" s="2" t="n">
        <f>HYPERLINK("https://worldwide.espacenet.com/patent/search?q=US10966092","Espacenet")</f>
        <v>0.0</v>
      </c>
      <c r="I449" s="2" t="n">
        <f>HYPERLINK("https://ppubs.uspto.gov/pubwebapp/external.html?q=10966092.pn.","USPTO")</f>
        <v>0.0</v>
      </c>
      <c r="J449" s="2" t="n">
        <f>HYPERLINK("https://image-ppubs.uspto.gov/dirsearch-public/print/downloadPdf/10966092","USPTO PDF")</f>
        <v>0.0</v>
      </c>
      <c r="K449" s="2" t="n">
        <f>HYPERLINK("https://sectors.patentforecast.com/pmd/US10966092","PMD")</f>
        <v>0.0</v>
      </c>
      <c r="L449" s="2" t="n">
        <f>HYPERLINK("https://globaldossier.uspto.gov/result/patent/US/10966092/1","US10966092")</f>
        <v>0.0</v>
      </c>
      <c r="M449" t="s">
        <v>2539</v>
      </c>
      <c r="N449" t="s">
        <v>187</v>
      </c>
      <c r="O449" t="s">
        <v>188</v>
      </c>
      <c r="P449" t="s">
        <v>2540</v>
      </c>
      <c r="Q449" s="3" t="n">
        <v>43423.0</v>
      </c>
      <c r="R449" s="3" t="n">
        <v>44285.0</v>
      </c>
      <c r="S449" s="3" t="n">
        <v>44288.82280805556</v>
      </c>
      <c r="T449" s="3" t="n">
        <v>44496.66874709491</v>
      </c>
      <c r="U449" t="s">
        <v>2541</v>
      </c>
      <c r="V449" t="s">
        <v>2542</v>
      </c>
    </row>
    <row r="450">
      <c r="A450" t="s">
        <v>1929</v>
      </c>
      <c r="B450" t="s">
        <v>2543</v>
      </c>
      <c r="C450" t="s">
        <v>24</v>
      </c>
      <c r="D450" t="s">
        <v>25</v>
      </c>
      <c r="E450" t="s">
        <v>2544</v>
      </c>
      <c r="F450" s="2" t="n">
        <f>HYPERLINK("https://patents.google.com/patent/US10958315","Google")</f>
        <v>0.0</v>
      </c>
      <c r="G450" s="2" t="n">
        <f>HYPERLINK("https://patentcenter.uspto.gov/applications/16877421","Patent Center")</f>
        <v>0.0</v>
      </c>
      <c r="H450" s="2" t="n">
        <f>HYPERLINK("https://worldwide.espacenet.com/patent/search?q=US10958315","Espacenet")</f>
        <v>0.0</v>
      </c>
      <c r="I450" s="2" t="n">
        <f>HYPERLINK("https://ppubs.uspto.gov/pubwebapp/external.html?q=10958315.pn.","USPTO")</f>
        <v>0.0</v>
      </c>
      <c r="J450" s="2" t="n">
        <f>HYPERLINK("https://image-ppubs.uspto.gov/dirsearch-public/print/downloadPdf/10958315","USPTO PDF")</f>
        <v>0.0</v>
      </c>
      <c r="K450" s="2" t="n">
        <f>HYPERLINK("https://sectors.patentforecast.com/pmd/US10958315","PMD")</f>
        <v>0.0</v>
      </c>
      <c r="L450" s="2" t="n">
        <f>HYPERLINK("https://globaldossier.uspto.gov/result/patent/US/10958315/1","US10958315")</f>
        <v>0.0</v>
      </c>
      <c r="M450" t="s">
        <v>321</v>
      </c>
      <c r="N450" t="s">
        <v>154</v>
      </c>
      <c r="O450" t="s">
        <v>155</v>
      </c>
      <c r="P450" t="s">
        <v>2545</v>
      </c>
      <c r="Q450" s="3" t="n">
        <v>43969.0</v>
      </c>
      <c r="R450" s="3" t="n">
        <v>44278.0</v>
      </c>
      <c r="S450" s="3" t="n">
        <v>44496.75751270833</v>
      </c>
      <c r="T450" s="3" t="n">
        <v>44496.76168260416</v>
      </c>
      <c r="U450" t="s">
        <v>2546</v>
      </c>
      <c r="V450" t="s">
        <v>923</v>
      </c>
    </row>
    <row r="451">
      <c r="A451" t="s">
        <v>1929</v>
      </c>
      <c r="B451" t="s">
        <v>2547</v>
      </c>
      <c r="C451" t="s">
        <v>24</v>
      </c>
      <c r="D451" t="s">
        <v>25</v>
      </c>
      <c r="E451" t="s">
        <v>2548</v>
      </c>
      <c r="F451" s="2" t="n">
        <f>HYPERLINK("https://patents.google.com/patent/US10951865","Google")</f>
        <v>0.0</v>
      </c>
      <c r="G451" s="2" t="n">
        <f>HYPERLINK("https://patentcenter.uspto.gov/applications/16838615","Patent Center")</f>
        <v>0.0</v>
      </c>
      <c r="H451" s="2" t="n">
        <f>HYPERLINK("https://worldwide.espacenet.com/patent/search?q=US10951865","Espacenet")</f>
        <v>0.0</v>
      </c>
      <c r="I451" s="2" t="n">
        <f>HYPERLINK("https://ppubs.uspto.gov/pubwebapp/external.html?q=10951865.pn.","USPTO")</f>
        <v>0.0</v>
      </c>
      <c r="J451" s="2" t="n">
        <f>HYPERLINK("https://image-ppubs.uspto.gov/dirsearch-public/print/downloadPdf/10951865","USPTO PDF")</f>
        <v>0.0</v>
      </c>
      <c r="K451" s="2" t="n">
        <f>HYPERLINK("https://sectors.patentforecast.com/pmd/US10951865","PMD")</f>
        <v>0.0</v>
      </c>
      <c r="L451" s="2" t="n">
        <f>HYPERLINK("https://globaldossier.uspto.gov/result/patent/US/10951865/1","US10951865")</f>
        <v>0.0</v>
      </c>
      <c r="M451" t="s">
        <v>308</v>
      </c>
      <c r="N451" t="s">
        <v>283</v>
      </c>
      <c r="O451" t="s">
        <v>284</v>
      </c>
      <c r="P451" t="s">
        <v>2501</v>
      </c>
      <c r="Q451" s="3" t="n">
        <v>43923.0</v>
      </c>
      <c r="R451" s="3" t="n">
        <v>44271.0</v>
      </c>
      <c r="S451" s="3" t="n">
        <v>44274.82175818287</v>
      </c>
      <c r="T451" s="3" t="n">
        <v>44497.47433927083</v>
      </c>
      <c r="U451" t="s">
        <v>2549</v>
      </c>
      <c r="V451" t="s">
        <v>2550</v>
      </c>
    </row>
    <row r="452">
      <c r="A452" t="s">
        <v>1929</v>
      </c>
      <c r="B452" t="s">
        <v>2551</v>
      </c>
      <c r="C452" t="s">
        <v>24</v>
      </c>
      <c r="D452" t="s">
        <v>25</v>
      </c>
      <c r="E452" t="s">
        <v>2552</v>
      </c>
      <c r="F452" s="2" t="n">
        <f>HYPERLINK("https://patents.google.com/patent/US10944140","Google")</f>
        <v>0.0</v>
      </c>
      <c r="G452" s="2" t="n">
        <f>HYPERLINK("https://patentcenter.uspto.gov/applications/17018602","Patent Center")</f>
        <v>0.0</v>
      </c>
      <c r="H452" s="2" t="n">
        <f>HYPERLINK("https://worldwide.espacenet.com/patent/search?q=US10944140","Espacenet")</f>
        <v>0.0</v>
      </c>
      <c r="I452" s="2" t="n">
        <f>HYPERLINK("https://ppubs.uspto.gov/pubwebapp/external.html?q=10944140.pn.","USPTO")</f>
        <v>0.0</v>
      </c>
      <c r="J452" s="2" t="n">
        <f>HYPERLINK("https://image-ppubs.uspto.gov/dirsearch-public/print/downloadPdf/10944140","USPTO PDF")</f>
        <v>0.0</v>
      </c>
      <c r="K452" s="2" t="n">
        <f>HYPERLINK("https://sectors.patentforecast.com/pmd/US10944140","PMD")</f>
        <v>0.0</v>
      </c>
      <c r="L452" s="2" t="n">
        <f>HYPERLINK("https://globaldossier.uspto.gov/result/patent/US/10944140/1","US10944140")</f>
        <v>0.0</v>
      </c>
      <c r="M452" t="s">
        <v>282</v>
      </c>
      <c r="N452" t="s">
        <v>283</v>
      </c>
      <c r="O452" t="s">
        <v>284</v>
      </c>
      <c r="P452" t="s">
        <v>2501</v>
      </c>
      <c r="Q452" s="3" t="n">
        <v>44085.0</v>
      </c>
      <c r="R452" s="3" t="n">
        <v>44264.0</v>
      </c>
      <c r="S452" s="3" t="n">
        <v>44267.764701099535</v>
      </c>
      <c r="T452" s="3" t="n">
        <v>44497.47323613426</v>
      </c>
      <c r="U452" t="s">
        <v>2553</v>
      </c>
      <c r="V452" t="s">
        <v>286</v>
      </c>
    </row>
    <row r="453">
      <c r="A453" t="s">
        <v>1929</v>
      </c>
      <c r="B453" t="s">
        <v>2554</v>
      </c>
      <c r="C453" t="s">
        <v>61</v>
      </c>
      <c r="D453" t="s">
        <v>61</v>
      </c>
      <c r="E453" t="s">
        <v>2555</v>
      </c>
      <c r="F453" s="2" t="n">
        <f>HYPERLINK("https://patents.google.com/patent/US10924153","Google")</f>
        <v>0.0</v>
      </c>
      <c r="G453" s="2" t="n">
        <f>HYPERLINK("https://patentcenter.uspto.gov/applications/16278636","Patent Center")</f>
        <v>0.0</v>
      </c>
      <c r="H453" s="2" t="n">
        <f>HYPERLINK("https://worldwide.espacenet.com/patent/search?q=US10924153","Espacenet")</f>
        <v>0.0</v>
      </c>
      <c r="I453" s="2" t="n">
        <f>HYPERLINK("https://ppubs.uspto.gov/pubwebapp/external.html?q=10924153.pn.","USPTO")</f>
        <v>0.0</v>
      </c>
      <c r="J453" s="2" t="n">
        <f>HYPERLINK("https://image-ppubs.uspto.gov/dirsearch-public/print/downloadPdf/10924153","USPTO PDF")</f>
        <v>0.0</v>
      </c>
      <c r="K453" s="2" t="n">
        <f>HYPERLINK("https://sectors.patentforecast.com/pmd/US10924153","PMD")</f>
        <v>0.0</v>
      </c>
      <c r="L453" s="2" t="n">
        <f>HYPERLINK("https://globaldossier.uspto.gov/result/patent/US/10924153/1","US10924153")</f>
        <v>0.0</v>
      </c>
      <c r="M453" t="s">
        <v>2556</v>
      </c>
      <c r="N453" t="s">
        <v>953</v>
      </c>
      <c r="O453" t="s">
        <v>954</v>
      </c>
      <c r="P453" t="s">
        <v>2557</v>
      </c>
      <c r="Q453" s="3" t="n">
        <v>43514.0</v>
      </c>
      <c r="R453" s="3" t="n">
        <v>44243.0</v>
      </c>
      <c r="S453" s="3" t="n">
        <v>44246.82430547454</v>
      </c>
      <c r="T453" s="3" t="n">
        <v>44497.45284819444</v>
      </c>
      <c r="U453" t="s">
        <v>2558</v>
      </c>
      <c r="V453" t="s">
        <v>2559</v>
      </c>
    </row>
    <row r="454">
      <c r="A454" t="s">
        <v>1929</v>
      </c>
      <c r="B454" t="s">
        <v>2560</v>
      </c>
      <c r="C454" t="s">
        <v>24</v>
      </c>
      <c r="D454" t="s">
        <v>25</v>
      </c>
      <c r="E454" t="s">
        <v>2005</v>
      </c>
      <c r="F454" s="2" t="n">
        <f>HYPERLINK("https://patents.google.com/patent/US10923827","Google")</f>
        <v>0.0</v>
      </c>
      <c r="G454" s="2" t="n">
        <f>HYPERLINK("https://patentcenter.uspto.gov/applications/16543391","Patent Center")</f>
        <v>0.0</v>
      </c>
      <c r="H454" s="2" t="n">
        <f>HYPERLINK("https://worldwide.espacenet.com/patent/search?q=US10923827","Espacenet")</f>
        <v>0.0</v>
      </c>
      <c r="I454" s="2" t="n">
        <f>HYPERLINK("https://ppubs.uspto.gov/pubwebapp/external.html?q=10923827.pn.","USPTO")</f>
        <v>0.0</v>
      </c>
      <c r="J454" s="2" t="n">
        <f>HYPERLINK("https://image-ppubs.uspto.gov/dirsearch-public/print/downloadPdf/10923827","USPTO PDF")</f>
        <v>0.0</v>
      </c>
      <c r="K454" s="2" t="n">
        <f>HYPERLINK("https://sectors.patentforecast.com/pmd/US10923827","PMD")</f>
        <v>0.0</v>
      </c>
      <c r="L454" s="2" t="n">
        <f>HYPERLINK("https://globaldossier.uspto.gov/result/patent/US/10923827/1","US10923827")</f>
        <v>0.0</v>
      </c>
      <c r="M454" t="s">
        <v>514</v>
      </c>
      <c r="N454" t="s">
        <v>2561</v>
      </c>
      <c r="O454" t="s">
        <v>2562</v>
      </c>
      <c r="P454" t="s">
        <v>2007</v>
      </c>
      <c r="Q454" s="3" t="n">
        <v>43693.0</v>
      </c>
      <c r="R454" s="3" t="n">
        <v>44243.0</v>
      </c>
      <c r="S454" s="3" t="n">
        <v>44247.07731460648</v>
      </c>
      <c r="T454" s="3" t="n">
        <v>44497.451247743054</v>
      </c>
      <c r="U454" t="s">
        <v>2563</v>
      </c>
      <c r="V454" t="s">
        <v>519</v>
      </c>
    </row>
    <row r="455">
      <c r="A455" t="s">
        <v>1929</v>
      </c>
      <c r="B455" t="s">
        <v>2564</v>
      </c>
      <c r="C455" t="s">
        <v>24</v>
      </c>
      <c r="D455" t="s">
        <v>25</v>
      </c>
      <c r="E455" t="s">
        <v>2565</v>
      </c>
      <c r="F455" s="2" t="n">
        <f>HYPERLINK("https://patents.google.com/patent/US10921094","Google")</f>
        <v>0.0</v>
      </c>
      <c r="G455" s="2" t="n">
        <f>HYPERLINK("https://patentcenter.uspto.gov/applications/15710365","Patent Center")</f>
        <v>0.0</v>
      </c>
      <c r="H455" s="2" t="n">
        <f>HYPERLINK("https://worldwide.espacenet.com/patent/search?q=US10921094","Espacenet")</f>
        <v>0.0</v>
      </c>
      <c r="I455" s="2" t="n">
        <f>HYPERLINK("https://ppubs.uspto.gov/pubwebapp/external.html?q=10921094.pn.","USPTO")</f>
        <v>0.0</v>
      </c>
      <c r="J455" s="2" t="n">
        <f>HYPERLINK("https://image-ppubs.uspto.gov/dirsearch-public/print/downloadPdf/10921094","USPTO PDF")</f>
        <v>0.0</v>
      </c>
      <c r="K455" s="2" t="n">
        <f>HYPERLINK("https://sectors.patentforecast.com/pmd/US10921094","PMD")</f>
        <v>0.0</v>
      </c>
      <c r="L455" s="2" t="n">
        <f>HYPERLINK("https://globaldossier.uspto.gov/result/patent/US/10921094/1","US10921094")</f>
        <v>0.0</v>
      </c>
      <c r="M455" t="s">
        <v>2566</v>
      </c>
      <c r="N455" t="s">
        <v>146</v>
      </c>
      <c r="O455" t="s">
        <v>147</v>
      </c>
      <c r="P455" t="s">
        <v>2567</v>
      </c>
      <c r="Q455" s="3" t="n">
        <v>42998.0</v>
      </c>
      <c r="R455" s="3" t="n">
        <v>44243.0</v>
      </c>
      <c r="S455" s="3" t="n">
        <v>44246.786921203704</v>
      </c>
      <c r="T455" s="3" t="n">
        <v>44497.44854883102</v>
      </c>
      <c r="U455" t="s">
        <v>2568</v>
      </c>
      <c r="V455" t="s">
        <v>150</v>
      </c>
    </row>
    <row r="456">
      <c r="A456" t="s">
        <v>1929</v>
      </c>
      <c r="B456" t="s">
        <v>2569</v>
      </c>
      <c r="C456" t="s">
        <v>24</v>
      </c>
      <c r="D456" t="s">
        <v>25</v>
      </c>
      <c r="E456" t="s">
        <v>2570</v>
      </c>
      <c r="F456" s="2" t="n">
        <f>HYPERLINK("https://patents.google.com/patent/US10910874","Google")</f>
        <v>0.0</v>
      </c>
      <c r="G456" s="2" t="n">
        <f>HYPERLINK("https://patentcenter.uspto.gov/applications/16229451","Patent Center")</f>
        <v>0.0</v>
      </c>
      <c r="H456" s="2" t="n">
        <f>HYPERLINK("https://worldwide.espacenet.com/patent/search?q=US10910874","Espacenet")</f>
        <v>0.0</v>
      </c>
      <c r="I456" s="2" t="n">
        <f>HYPERLINK("https://ppubs.uspto.gov/pubwebapp/external.html?q=10910874.pn.","USPTO")</f>
        <v>0.0</v>
      </c>
      <c r="J456" s="2" t="n">
        <f>HYPERLINK("https://image-ppubs.uspto.gov/dirsearch-public/print/downloadPdf/10910874","USPTO PDF")</f>
        <v>0.0</v>
      </c>
      <c r="K456" s="2" t="n">
        <f>HYPERLINK("https://sectors.patentforecast.com/pmd/US10910874","PMD")</f>
        <v>0.0</v>
      </c>
      <c r="L456" s="2" t="n">
        <f>HYPERLINK("https://globaldossier.uspto.gov/result/patent/US/10910874/1","US10910874")</f>
        <v>0.0</v>
      </c>
      <c r="M456" t="s">
        <v>810</v>
      </c>
      <c r="N456" t="s">
        <v>811</v>
      </c>
      <c r="O456" t="s">
        <v>812</v>
      </c>
      <c r="P456" t="s">
        <v>2571</v>
      </c>
      <c r="Q456" s="3" t="n">
        <v>43455.0</v>
      </c>
      <c r="R456" s="3" t="n">
        <v>44229.0</v>
      </c>
      <c r="S456" s="3" t="n">
        <v>44232.772111736114</v>
      </c>
      <c r="T456" s="3" t="n">
        <v>44496.73069853009</v>
      </c>
      <c r="U456" t="s">
        <v>2572</v>
      </c>
      <c r="V456" t="s">
        <v>815</v>
      </c>
    </row>
    <row r="457">
      <c r="A457" t="s">
        <v>1929</v>
      </c>
      <c r="B457" t="s">
        <v>2573</v>
      </c>
      <c r="C457" t="s">
        <v>24</v>
      </c>
      <c r="D457" t="s">
        <v>25</v>
      </c>
      <c r="E457" t="s">
        <v>2574</v>
      </c>
      <c r="F457" s="2" t="n">
        <f>HYPERLINK("https://patents.google.com/patent/US10910855","Google")</f>
        <v>0.0</v>
      </c>
      <c r="G457" s="2" t="n">
        <f>HYPERLINK("https://patentcenter.uspto.gov/applications/16147843","Patent Center")</f>
        <v>0.0</v>
      </c>
      <c r="H457" s="2" t="n">
        <f>HYPERLINK("https://worldwide.espacenet.com/patent/search?q=US10910855","Espacenet")</f>
        <v>0.0</v>
      </c>
      <c r="I457" s="2" t="n">
        <f>HYPERLINK("https://ppubs.uspto.gov/pubwebapp/external.html?q=10910855.pn.","USPTO")</f>
        <v>0.0</v>
      </c>
      <c r="J457" s="2" t="n">
        <f>HYPERLINK("https://image-ppubs.uspto.gov/dirsearch-public/print/downloadPdf/10910855","USPTO PDF")</f>
        <v>0.0</v>
      </c>
      <c r="K457" s="2" t="n">
        <f>HYPERLINK("https://sectors.patentforecast.com/pmd/US10910855","PMD")</f>
        <v>0.0</v>
      </c>
      <c r="L457" s="2" t="n">
        <f>HYPERLINK("https://globaldossier.uspto.gov/result/patent/US/10910855/1","US10910855")</f>
        <v>0.0</v>
      </c>
      <c r="M457" t="s">
        <v>883</v>
      </c>
      <c r="N457" t="s">
        <v>227</v>
      </c>
      <c r="O457" t="s">
        <v>228</v>
      </c>
      <c r="P457" t="s">
        <v>2575</v>
      </c>
      <c r="Q457" s="3" t="n">
        <v>43373.0</v>
      </c>
      <c r="R457" s="3" t="n">
        <v>44229.0</v>
      </c>
      <c r="S457" s="3" t="n">
        <v>44232.81597726852</v>
      </c>
      <c r="T457" s="3" t="n">
        <v>44496.73702637731</v>
      </c>
      <c r="U457" t="s">
        <v>2576</v>
      </c>
      <c r="V457" t="s">
        <v>886</v>
      </c>
    </row>
    <row r="458">
      <c r="A458" t="s">
        <v>1929</v>
      </c>
      <c r="B458" t="s">
        <v>2577</v>
      </c>
      <c r="C458" t="s">
        <v>24</v>
      </c>
      <c r="D458" t="s">
        <v>25</v>
      </c>
      <c r="E458" t="s">
        <v>2578</v>
      </c>
      <c r="F458" s="2" t="n">
        <f>HYPERLINK("https://patents.google.com/patent/US10893989","Google")</f>
        <v>0.0</v>
      </c>
      <c r="G458" s="2" t="n">
        <f>HYPERLINK("https://patentcenter.uspto.gov/applications/16022955","Patent Center")</f>
        <v>0.0</v>
      </c>
      <c r="H458" s="2" t="n">
        <f>HYPERLINK("https://worldwide.espacenet.com/patent/search?q=US10893989","Espacenet")</f>
        <v>0.0</v>
      </c>
      <c r="I458" s="2" t="n">
        <f>HYPERLINK("https://ppubs.uspto.gov/pubwebapp/external.html?q=10893989.pn.","USPTO")</f>
        <v>0.0</v>
      </c>
      <c r="J458" s="2" t="n">
        <f>HYPERLINK("https://image-ppubs.uspto.gov/dirsearch-public/print/downloadPdf/10893989","USPTO PDF")</f>
        <v>0.0</v>
      </c>
      <c r="K458" s="2" t="n">
        <f>HYPERLINK("https://sectors.patentforecast.com/pmd/US10893989","PMD")</f>
        <v>0.0</v>
      </c>
      <c r="L458" s="2" t="n">
        <f>HYPERLINK("https://globaldossier.uspto.gov/result/patent/US/10893989/1","US10893989")</f>
        <v>0.0</v>
      </c>
      <c r="M458" t="s">
        <v>2579</v>
      </c>
      <c r="N458" t="s">
        <v>2580</v>
      </c>
      <c r="O458" t="s">
        <v>2581</v>
      </c>
      <c r="P458" t="s">
        <v>2582</v>
      </c>
      <c r="Q458" s="3" t="n">
        <v>43280.0</v>
      </c>
      <c r="R458" s="3" t="n">
        <v>44215.0</v>
      </c>
      <c r="S458" s="3" t="n">
        <v>44218.81435490741</v>
      </c>
      <c r="T458" s="3" t="n">
        <v>44496.69314650463</v>
      </c>
      <c r="U458" t="s">
        <v>2583</v>
      </c>
      <c r="V458" t="s">
        <v>2584</v>
      </c>
    </row>
    <row r="459">
      <c r="A459" t="s">
        <v>1929</v>
      </c>
      <c r="B459" t="s">
        <v>2585</v>
      </c>
      <c r="C459" t="s">
        <v>24</v>
      </c>
      <c r="D459" t="s">
        <v>25</v>
      </c>
      <c r="E459" t="s">
        <v>2586</v>
      </c>
      <c r="F459" s="2" t="n">
        <f>HYPERLINK("https://patents.google.com/patent/US10893526","Google")</f>
        <v>0.0</v>
      </c>
      <c r="G459" s="2" t="n">
        <f>HYPERLINK("https://patentcenter.uspto.gov/applications/16398777","Patent Center")</f>
        <v>0.0</v>
      </c>
      <c r="H459" s="2" t="n">
        <f>HYPERLINK("https://worldwide.espacenet.com/patent/search?q=US10893526","Espacenet")</f>
        <v>0.0</v>
      </c>
      <c r="I459" s="2" t="n">
        <f>HYPERLINK("https://ppubs.uspto.gov/pubwebapp/external.html?q=10893526.pn.","USPTO")</f>
        <v>0.0</v>
      </c>
      <c r="J459" s="2" t="n">
        <f>HYPERLINK("https://image-ppubs.uspto.gov/dirsearch-public/print/downloadPdf/10893526","USPTO PDF")</f>
        <v>0.0</v>
      </c>
      <c r="K459" s="2" t="n">
        <f>HYPERLINK("https://sectors.patentforecast.com/pmd/US10893526","PMD")</f>
        <v>0.0</v>
      </c>
      <c r="L459" s="2" t="n">
        <f>HYPERLINK("https://globaldossier.uspto.gov/result/patent/US/10893526/1","US10893526")</f>
        <v>0.0</v>
      </c>
      <c r="M459" t="s">
        <v>2587</v>
      </c>
      <c r="N459" t="s">
        <v>445</v>
      </c>
      <c r="O459" t="s">
        <v>446</v>
      </c>
      <c r="P459" t="s">
        <v>2588</v>
      </c>
      <c r="Q459" s="3" t="n">
        <v>43585.0</v>
      </c>
      <c r="R459" s="3" t="n">
        <v>44208.0</v>
      </c>
      <c r="S459" s="3" t="n">
        <v>44211.80498166667</v>
      </c>
      <c r="T459" s="3" t="n">
        <v>44496.68882326389</v>
      </c>
      <c r="U459" t="s">
        <v>2589</v>
      </c>
      <c r="V459" t="s">
        <v>2590</v>
      </c>
    </row>
    <row r="460">
      <c r="A460" t="s">
        <v>1929</v>
      </c>
      <c r="B460" t="s">
        <v>2591</v>
      </c>
      <c r="C460" t="s">
        <v>61</v>
      </c>
      <c r="D460" t="s">
        <v>61</v>
      </c>
      <c r="E460" t="s">
        <v>2592</v>
      </c>
      <c r="F460" s="2" t="n">
        <f>HYPERLINK("https://patents.google.com/patent/US10893242","Google")</f>
        <v>0.0</v>
      </c>
      <c r="G460" s="2" t="n">
        <f>HYPERLINK("https://patentcenter.uspto.gov/applications/16053338","Patent Center")</f>
        <v>0.0</v>
      </c>
      <c r="H460" s="2" t="n">
        <f>HYPERLINK("https://worldwide.espacenet.com/patent/search?q=US10893242","Espacenet")</f>
        <v>0.0</v>
      </c>
      <c r="I460" s="2" t="n">
        <f>HYPERLINK("https://ppubs.uspto.gov/pubwebapp/external.html?q=10893242.pn.","USPTO")</f>
        <v>0.0</v>
      </c>
      <c r="J460" s="2" t="n">
        <f>HYPERLINK("https://image-ppubs.uspto.gov/dirsearch-public/print/downloadPdf/10893242","USPTO PDF")</f>
        <v>0.0</v>
      </c>
      <c r="K460" s="2" t="n">
        <f>HYPERLINK("https://sectors.patentforecast.com/pmd/US10893242","PMD")</f>
        <v>0.0</v>
      </c>
      <c r="L460" s="2" t="n">
        <f>HYPERLINK("https://globaldossier.uspto.gov/result/patent/US/10893242/1","US10893242")</f>
        <v>0.0</v>
      </c>
      <c r="M460" t="s">
        <v>2593</v>
      </c>
      <c r="N460" t="s">
        <v>2594</v>
      </c>
      <c r="O460" t="s">
        <v>2595</v>
      </c>
      <c r="P460" t="s">
        <v>2596</v>
      </c>
      <c r="Q460" s="3" t="n">
        <v>43314.0</v>
      </c>
      <c r="R460" s="3" t="n">
        <v>44208.0</v>
      </c>
      <c r="S460" s="3" t="n">
        <v>44211.781602256946</v>
      </c>
      <c r="T460" s="3" t="n">
        <v>44496.690160185186</v>
      </c>
      <c r="U460" t="s">
        <v>2597</v>
      </c>
      <c r="V460" t="s">
        <v>2598</v>
      </c>
    </row>
    <row r="461">
      <c r="A461" t="s">
        <v>1929</v>
      </c>
      <c r="B461" t="s">
        <v>2599</v>
      </c>
      <c r="C461" t="s">
        <v>24</v>
      </c>
      <c r="D461" t="s">
        <v>25</v>
      </c>
      <c r="E461" t="s">
        <v>2600</v>
      </c>
      <c r="F461" s="2" t="n">
        <f>HYPERLINK("https://patents.google.com/patent/US10833520","Google")</f>
        <v>0.0</v>
      </c>
      <c r="G461" s="2" t="n">
        <f>HYPERLINK("https://patentcenter.uspto.gov/applications/16319582","Patent Center")</f>
        <v>0.0</v>
      </c>
      <c r="H461" s="2" t="n">
        <f>HYPERLINK("https://worldwide.espacenet.com/patent/search?q=US10833520","Espacenet")</f>
        <v>0.0</v>
      </c>
      <c r="I461" s="2" t="n">
        <f>HYPERLINK("https://ppubs.uspto.gov/pubwebapp/external.html?q=10833520.pn.","USPTO")</f>
        <v>0.0</v>
      </c>
      <c r="J461" s="2" t="n">
        <f>HYPERLINK("https://image-ppubs.uspto.gov/dirsearch-public/print/downloadPdf/10833520","USPTO PDF")</f>
        <v>0.0</v>
      </c>
      <c r="K461" s="2" t="n">
        <f>HYPERLINK("https://sectors.patentforecast.com/pmd/US10833520","PMD")</f>
        <v>0.0</v>
      </c>
      <c r="L461" s="2" t="n">
        <f>HYPERLINK("https://globaldossier.uspto.gov/result/patent/US/10833520/1","US10833520")</f>
        <v>0.0</v>
      </c>
      <c r="M461" t="s">
        <v>538</v>
      </c>
      <c r="N461" t="s">
        <v>539</v>
      </c>
      <c r="O461" t="s">
        <v>540</v>
      </c>
      <c r="P461" t="s">
        <v>2601</v>
      </c>
      <c r="Q461" s="3" t="n">
        <v>42937.0</v>
      </c>
      <c r="R461" s="3" t="n">
        <v>44145.0</v>
      </c>
      <c r="S461" s="3" t="n">
        <v>44148.89005125</v>
      </c>
      <c r="T461" s="3" t="n">
        <v>44495.70023381944</v>
      </c>
      <c r="U461" t="s">
        <v>2602</v>
      </c>
      <c r="V461" t="s">
        <v>543</v>
      </c>
    </row>
    <row r="462">
      <c r="A462" t="s">
        <v>1929</v>
      </c>
      <c r="B462" t="s">
        <v>2603</v>
      </c>
      <c r="C462" t="s">
        <v>168</v>
      </c>
      <c r="D462" t="s">
        <v>168</v>
      </c>
      <c r="E462" t="s">
        <v>2604</v>
      </c>
      <c r="F462" s="2" t="n">
        <f>HYPERLINK("https://patents.google.com/patent/US10813169","Google")</f>
        <v>0.0</v>
      </c>
      <c r="G462" s="2" t="n">
        <f>HYPERLINK("https://patentcenter.uspto.gov/applications/16360874","Patent Center")</f>
        <v>0.0</v>
      </c>
      <c r="H462" s="2" t="n">
        <f>HYPERLINK("https://worldwide.espacenet.com/patent/search?q=US10813169","Espacenet")</f>
        <v>0.0</v>
      </c>
      <c r="I462" s="2" t="n">
        <f>HYPERLINK("https://ppubs.uspto.gov/pubwebapp/external.html?q=10813169.pn.","USPTO")</f>
        <v>0.0</v>
      </c>
      <c r="J462" s="2" t="n">
        <f>HYPERLINK("https://image-ppubs.uspto.gov/dirsearch-public/print/downloadPdf/10813169","USPTO PDF")</f>
        <v>0.0</v>
      </c>
      <c r="K462" s="2" t="n">
        <f>HYPERLINK("https://sectors.patentforecast.com/pmd/US10813169","PMD")</f>
        <v>0.0</v>
      </c>
      <c r="L462" s="2" t="n">
        <f>HYPERLINK("https://globaldossier.uspto.gov/result/patent/US/10813169/1","US10813169")</f>
        <v>0.0</v>
      </c>
      <c r="M462" t="s">
        <v>761</v>
      </c>
      <c r="N462" t="s">
        <v>179</v>
      </c>
      <c r="O462" t="s">
        <v>180</v>
      </c>
      <c r="P462" t="s">
        <v>2605</v>
      </c>
      <c r="Q462" s="3" t="n">
        <v>43545.0</v>
      </c>
      <c r="R462" s="3" t="n">
        <v>44124.0</v>
      </c>
      <c r="S462" s="3" t="n">
        <v>44127.81088314815</v>
      </c>
      <c r="T462" s="3" t="n">
        <v>44495.64541658565</v>
      </c>
      <c r="U462" t="s">
        <v>2606</v>
      </c>
      <c r="V462" t="s">
        <v>183</v>
      </c>
    </row>
    <row r="463">
      <c r="A463" t="s">
        <v>1929</v>
      </c>
      <c r="B463" t="s">
        <v>2607</v>
      </c>
      <c r="C463" t="s">
        <v>61</v>
      </c>
      <c r="D463" t="s">
        <v>61</v>
      </c>
      <c r="E463" t="s">
        <v>2608</v>
      </c>
      <c r="F463" s="2" t="n">
        <f>HYPERLINK("https://patents.google.com/patent/US10813074","Google")</f>
        <v>0.0</v>
      </c>
      <c r="G463" s="2" t="n">
        <f>HYPERLINK("https://patentcenter.uspto.gov/applications/15949867","Patent Center")</f>
        <v>0.0</v>
      </c>
      <c r="H463" s="2" t="n">
        <f>HYPERLINK("https://worldwide.espacenet.com/patent/search?q=US10813074","Espacenet")</f>
        <v>0.0</v>
      </c>
      <c r="I463" s="2" t="n">
        <f>HYPERLINK("https://ppubs.uspto.gov/pubwebapp/external.html?q=10813074.pn.","USPTO")</f>
        <v>0.0</v>
      </c>
      <c r="J463" s="2" t="n">
        <f>HYPERLINK("https://image-ppubs.uspto.gov/dirsearch-public/print/downloadPdf/10813074","USPTO PDF")</f>
        <v>0.0</v>
      </c>
      <c r="K463" s="2" t="n">
        <f>HYPERLINK("https://sectors.patentforecast.com/pmd/US10813074","PMD")</f>
        <v>0.0</v>
      </c>
      <c r="L463" s="2" t="n">
        <f>HYPERLINK("https://globaldossier.uspto.gov/result/patent/US/10813074/1","US10813074")</f>
        <v>0.0</v>
      </c>
      <c r="M463" t="s">
        <v>2609</v>
      </c>
      <c r="N463" t="s">
        <v>687</v>
      </c>
      <c r="O463" t="s">
        <v>688</v>
      </c>
      <c r="P463" t="s">
        <v>2610</v>
      </c>
      <c r="Q463" s="3" t="n">
        <v>43200.0</v>
      </c>
      <c r="R463" s="3" t="n">
        <v>44124.0</v>
      </c>
      <c r="S463" s="3" t="n">
        <v>44127.945952870374</v>
      </c>
      <c r="T463" s="3" t="n">
        <v>44495.64958445602</v>
      </c>
      <c r="U463" t="s">
        <v>2611</v>
      </c>
      <c r="V463" t="s">
        <v>2612</v>
      </c>
    </row>
    <row r="464">
      <c r="A464" t="s">
        <v>1929</v>
      </c>
      <c r="B464" t="s">
        <v>2613</v>
      </c>
      <c r="C464" t="s">
        <v>61</v>
      </c>
      <c r="D464" t="s">
        <v>61</v>
      </c>
      <c r="E464" t="s">
        <v>2614</v>
      </c>
      <c r="F464" s="2" t="n">
        <f>HYPERLINK("https://patents.google.com/patent/US10770783","Google")</f>
        <v>0.0</v>
      </c>
      <c r="G464" s="2" t="n">
        <f>HYPERLINK("https://patentcenter.uspto.gov/applications/16674017","Patent Center")</f>
        <v>0.0</v>
      </c>
      <c r="H464" s="2" t="n">
        <f>HYPERLINK("https://worldwide.espacenet.com/patent/search?q=US10770783","Espacenet")</f>
        <v>0.0</v>
      </c>
      <c r="I464" s="2" t="n">
        <f>HYPERLINK("https://ppubs.uspto.gov/pubwebapp/external.html?q=10770783.pn.","USPTO")</f>
        <v>0.0</v>
      </c>
      <c r="J464" s="2" t="n">
        <f>HYPERLINK("https://image-ppubs.uspto.gov/dirsearch-public/print/downloadPdf/10770783","USPTO PDF")</f>
        <v>0.0</v>
      </c>
      <c r="K464" s="2" t="n">
        <f>HYPERLINK("https://sectors.patentforecast.com/pmd/US10770783","PMD")</f>
        <v>0.0</v>
      </c>
      <c r="L464" s="2" t="n">
        <f>HYPERLINK("https://globaldossier.uspto.gov/result/patent/US/10770783/1","US10770783")</f>
        <v>0.0</v>
      </c>
      <c r="M464" t="s">
        <v>635</v>
      </c>
      <c r="N464" t="s">
        <v>314</v>
      </c>
      <c r="O464" t="s">
        <v>315</v>
      </c>
      <c r="P464" t="s">
        <v>2012</v>
      </c>
      <c r="Q464" s="3" t="n">
        <v>43774.0</v>
      </c>
      <c r="R464" s="3" t="n">
        <v>44082.0</v>
      </c>
      <c r="S464" s="3" t="n">
        <v>44085.80382025463</v>
      </c>
      <c r="T464" s="3" t="n">
        <v>44495.55374369213</v>
      </c>
      <c r="U464" t="s">
        <v>2615</v>
      </c>
      <c r="V464" t="s">
        <v>637</v>
      </c>
    </row>
    <row r="465">
      <c r="A465" t="s">
        <v>1929</v>
      </c>
      <c r="B465" t="s">
        <v>2616</v>
      </c>
      <c r="C465" t="s">
        <v>61</v>
      </c>
      <c r="D465" t="s">
        <v>61</v>
      </c>
      <c r="E465" t="s">
        <v>2617</v>
      </c>
      <c r="F465" s="2" t="n">
        <f>HYPERLINK("https://patents.google.com/patent/US10769947","Google")</f>
        <v>0.0</v>
      </c>
      <c r="G465" s="2" t="n">
        <f>HYPERLINK("https://patentcenter.uspto.gov/applications/16545592","Patent Center")</f>
        <v>0.0</v>
      </c>
      <c r="H465" s="2" t="n">
        <f>HYPERLINK("https://worldwide.espacenet.com/patent/search?q=US10769947","Espacenet")</f>
        <v>0.0</v>
      </c>
      <c r="I465" s="2" t="n">
        <f>HYPERLINK("https://ppubs.uspto.gov/pubwebapp/external.html?q=10769947.pn.","USPTO")</f>
        <v>0.0</v>
      </c>
      <c r="J465" s="2" t="n">
        <f>HYPERLINK("https://image-ppubs.uspto.gov/dirsearch-public/print/downloadPdf/10769947","USPTO PDF")</f>
        <v>0.0</v>
      </c>
      <c r="K465" s="2" t="n">
        <f>HYPERLINK("https://sectors.patentforecast.com/pmd/US10769947","PMD")</f>
        <v>0.0</v>
      </c>
      <c r="L465" s="2" t="n">
        <f>HYPERLINK("https://globaldossier.uspto.gov/result/patent/US/10769947/1","US10769947")</f>
        <v>0.0</v>
      </c>
      <c r="M465" t="s">
        <v>2618</v>
      </c>
      <c r="N465" t="s">
        <v>687</v>
      </c>
      <c r="O465" t="s">
        <v>688</v>
      </c>
      <c r="P465" t="s">
        <v>2619</v>
      </c>
      <c r="Q465" s="3" t="n">
        <v>43697.0</v>
      </c>
      <c r="R465" s="3" t="n">
        <v>44082.0</v>
      </c>
      <c r="S465" s="3" t="n">
        <v>44085.81365844907</v>
      </c>
      <c r="T465" s="3" t="n">
        <v>44495.56563650463</v>
      </c>
      <c r="U465" t="s">
        <v>2620</v>
      </c>
      <c r="V465" t="s">
        <v>2621</v>
      </c>
    </row>
    <row r="466">
      <c r="A466" t="s">
        <v>1929</v>
      </c>
      <c r="B466" t="s">
        <v>2622</v>
      </c>
      <c r="C466" t="s">
        <v>61</v>
      </c>
      <c r="D466" t="s">
        <v>61</v>
      </c>
      <c r="E466" t="s">
        <v>2623</v>
      </c>
      <c r="F466" s="2" t="n">
        <f>HYPERLINK("https://patents.google.com/patent/US10735962","Google")</f>
        <v>0.0</v>
      </c>
      <c r="G466" s="2" t="n">
        <f>HYPERLINK("https://patentcenter.uspto.gov/applications/16289358","Patent Center")</f>
        <v>0.0</v>
      </c>
      <c r="H466" s="2" t="n">
        <f>HYPERLINK("https://worldwide.espacenet.com/patent/search?q=US10735962","Espacenet")</f>
        <v>0.0</v>
      </c>
      <c r="I466" s="2" t="n">
        <f>HYPERLINK("https://ppubs.uspto.gov/pubwebapp/external.html?q=10735962.pn.","USPTO")</f>
        <v>0.0</v>
      </c>
      <c r="J466" s="2" t="n">
        <f>HYPERLINK("https://image-ppubs.uspto.gov/dirsearch-public/print/downloadPdf/10735962","USPTO PDF")</f>
        <v>0.0</v>
      </c>
      <c r="K466" s="2" t="n">
        <f>HYPERLINK("https://sectors.patentforecast.com/pmd/US10735962","PMD")</f>
        <v>0.0</v>
      </c>
      <c r="L466" s="2" t="n">
        <f>HYPERLINK("https://globaldossier.uspto.gov/result/patent/US/10735962/1","US10735962")</f>
        <v>0.0</v>
      </c>
      <c r="M466" t="s">
        <v>2624</v>
      </c>
      <c r="N466" t="s">
        <v>581</v>
      </c>
      <c r="O466" t="s">
        <v>582</v>
      </c>
      <c r="P466" t="s">
        <v>2625</v>
      </c>
      <c r="Q466" s="3" t="n">
        <v>43524.0</v>
      </c>
      <c r="R466" s="3" t="n">
        <v>44047.0</v>
      </c>
      <c r="S466" s="3" t="n">
        <v>44050.8406906713</v>
      </c>
      <c r="T466" s="3" t="n">
        <v>44495.42346920139</v>
      </c>
      <c r="U466" t="s">
        <v>2626</v>
      </c>
      <c r="V466" t="s">
        <v>2627</v>
      </c>
    </row>
    <row r="467">
      <c r="A467" t="s">
        <v>1929</v>
      </c>
      <c r="B467" t="s">
        <v>2628</v>
      </c>
      <c r="C467" t="s">
        <v>24</v>
      </c>
      <c r="D467" t="s">
        <v>25</v>
      </c>
      <c r="E467" t="s">
        <v>2529</v>
      </c>
      <c r="F467" s="2" t="n">
        <f>HYPERLINK("https://patents.google.com/patent/US10727457","Google")</f>
        <v>0.0</v>
      </c>
      <c r="G467" s="2" t="n">
        <f>HYPERLINK("https://patentcenter.uspto.gov/applications/15975116","Patent Center")</f>
        <v>0.0</v>
      </c>
      <c r="H467" s="2" t="n">
        <f>HYPERLINK("https://worldwide.espacenet.com/patent/search?q=US10727457","Espacenet")</f>
        <v>0.0</v>
      </c>
      <c r="I467" s="2" t="n">
        <f>HYPERLINK("https://ppubs.uspto.gov/pubwebapp/external.html?q=10727457.pn.","USPTO")</f>
        <v>0.0</v>
      </c>
      <c r="J467" s="2" t="n">
        <f>HYPERLINK("https://image-ppubs.uspto.gov/dirsearch-public/print/downloadPdf/10727457","USPTO PDF")</f>
        <v>0.0</v>
      </c>
      <c r="K467" s="2" t="n">
        <f>HYPERLINK("https://sectors.patentforecast.com/pmd/US10727457","PMD")</f>
        <v>0.0</v>
      </c>
      <c r="L467" s="2" t="n">
        <f>HYPERLINK("https://globaldossier.uspto.gov/result/patent/US/10727457/1","US10727457")</f>
        <v>0.0</v>
      </c>
      <c r="M467" t="s">
        <v>1010</v>
      </c>
      <c r="N467" t="s">
        <v>283</v>
      </c>
      <c r="O467" t="s">
        <v>284</v>
      </c>
      <c r="P467" t="s">
        <v>2501</v>
      </c>
      <c r="Q467" s="3" t="n">
        <v>43229.0</v>
      </c>
      <c r="R467" s="3" t="n">
        <v>44040.0</v>
      </c>
      <c r="S467" s="3" t="n">
        <v>44043.82126246528</v>
      </c>
      <c r="T467" s="3" t="n">
        <v>44495.40178835648</v>
      </c>
      <c r="U467" t="s">
        <v>2629</v>
      </c>
      <c r="V467" t="s">
        <v>291</v>
      </c>
    </row>
    <row r="468">
      <c r="A468" t="s">
        <v>1929</v>
      </c>
      <c r="B468" t="s">
        <v>2630</v>
      </c>
      <c r="C468" t="s">
        <v>24</v>
      </c>
      <c r="D468" t="s">
        <v>25</v>
      </c>
      <c r="E468" t="s">
        <v>2631</v>
      </c>
      <c r="F468" s="2" t="n">
        <f>HYPERLINK("https://patents.google.com/patent/US10720710","Google")</f>
        <v>0.0</v>
      </c>
      <c r="G468" s="2" t="n">
        <f>HYPERLINK("https://patentcenter.uspto.gov/applications/15709838","Patent Center")</f>
        <v>0.0</v>
      </c>
      <c r="H468" s="2" t="n">
        <f>HYPERLINK("https://worldwide.espacenet.com/patent/search?q=US10720710","Espacenet")</f>
        <v>0.0</v>
      </c>
      <c r="I468" s="2" t="n">
        <f>HYPERLINK("https://ppubs.uspto.gov/pubwebapp/external.html?q=10720710.pn.","USPTO")</f>
        <v>0.0</v>
      </c>
      <c r="J468" s="2" t="n">
        <f>HYPERLINK("https://image-ppubs.uspto.gov/dirsearch-public/print/downloadPdf/10720710","USPTO PDF")</f>
        <v>0.0</v>
      </c>
      <c r="K468" s="2" t="n">
        <f>HYPERLINK("https://sectors.patentforecast.com/pmd/US10720710","PMD")</f>
        <v>0.0</v>
      </c>
      <c r="L468" s="2" t="n">
        <f>HYPERLINK("https://globaldossier.uspto.gov/result/patent/US/10720710/1","US10720710")</f>
        <v>0.0</v>
      </c>
      <c r="M468" t="s">
        <v>2632</v>
      </c>
      <c r="N468" t="s">
        <v>2633</v>
      </c>
      <c r="O468" t="s">
        <v>2634</v>
      </c>
      <c r="P468" t="s">
        <v>2635</v>
      </c>
      <c r="Q468" s="3" t="n">
        <v>42998.0</v>
      </c>
      <c r="R468" s="3" t="n">
        <v>44033.0</v>
      </c>
      <c r="S468" s="3" t="n">
        <v>44036.851956875</v>
      </c>
      <c r="T468" s="3" t="n">
        <v>44494.74104434028</v>
      </c>
      <c r="U468" t="s">
        <v>2636</v>
      </c>
      <c r="V468" t="s">
        <v>2637</v>
      </c>
    </row>
    <row r="469">
      <c r="A469" t="s">
        <v>1929</v>
      </c>
      <c r="B469" t="s">
        <v>2638</v>
      </c>
      <c r="C469" t="s">
        <v>24</v>
      </c>
      <c r="D469" t="s">
        <v>25</v>
      </c>
      <c r="E469" t="s">
        <v>2639</v>
      </c>
      <c r="F469" s="2" t="n">
        <f>HYPERLINK("https://patents.google.com/patent/US10716001","Google")</f>
        <v>0.0</v>
      </c>
      <c r="G469" s="2" t="n">
        <f>HYPERLINK("https://patentcenter.uspto.gov/applications/15676009","Patent Center")</f>
        <v>0.0</v>
      </c>
      <c r="H469" s="2" t="n">
        <f>HYPERLINK("https://worldwide.espacenet.com/patent/search?q=US10716001","Espacenet")</f>
        <v>0.0</v>
      </c>
      <c r="I469" s="2" t="n">
        <f>HYPERLINK("https://ppubs.uspto.gov/pubwebapp/external.html?q=10716001.pn.","USPTO")</f>
        <v>0.0</v>
      </c>
      <c r="J469" s="2" t="n">
        <f>HYPERLINK("https://image-ppubs.uspto.gov/dirsearch-public/print/downloadPdf/10716001","USPTO PDF")</f>
        <v>0.0</v>
      </c>
      <c r="K469" s="2" t="n">
        <f>HYPERLINK("https://sectors.patentforecast.com/pmd/US10716001","PMD")</f>
        <v>0.0</v>
      </c>
      <c r="L469" s="2" t="n">
        <f>HYPERLINK("https://globaldossier.uspto.gov/result/patent/US/10716001/1","US10716001")</f>
        <v>0.0</v>
      </c>
      <c r="M469" t="s">
        <v>929</v>
      </c>
      <c r="N469" t="s">
        <v>930</v>
      </c>
      <c r="O469" t="s">
        <v>931</v>
      </c>
      <c r="P469" t="s">
        <v>2640</v>
      </c>
      <c r="Q469" s="3" t="n">
        <v>42961.0</v>
      </c>
      <c r="R469" s="3" t="n">
        <v>44026.0</v>
      </c>
      <c r="S469" s="3" t="n">
        <v>44029.8113219213</v>
      </c>
      <c r="T469" s="3" t="n">
        <v>44494.73284938657</v>
      </c>
      <c r="U469" t="s">
        <v>2641</v>
      </c>
      <c r="V469" t="s">
        <v>934</v>
      </c>
    </row>
    <row r="470">
      <c r="A470" t="s">
        <v>1929</v>
      </c>
      <c r="B470" t="s">
        <v>2642</v>
      </c>
      <c r="C470" t="s">
        <v>61</v>
      </c>
      <c r="D470" t="s">
        <v>61</v>
      </c>
      <c r="E470" t="s">
        <v>2643</v>
      </c>
      <c r="F470" s="2" t="n">
        <f>HYPERLINK("https://patents.google.com/patent/US10708823","Google")</f>
        <v>0.0</v>
      </c>
      <c r="G470" s="2" t="n">
        <f>HYPERLINK("https://patentcenter.uspto.gov/applications/15854290","Patent Center")</f>
        <v>0.0</v>
      </c>
      <c r="H470" s="2" t="n">
        <f>HYPERLINK("https://worldwide.espacenet.com/patent/search?q=US10708823","Espacenet")</f>
        <v>0.0</v>
      </c>
      <c r="I470" s="2" t="n">
        <f>HYPERLINK("https://ppubs.uspto.gov/pubwebapp/external.html?q=10708823.pn.","USPTO")</f>
        <v>0.0</v>
      </c>
      <c r="J470" s="2" t="n">
        <f>HYPERLINK("https://image-ppubs.uspto.gov/dirsearch-public/print/downloadPdf/10708823","USPTO PDF")</f>
        <v>0.0</v>
      </c>
      <c r="K470" s="2" t="n">
        <f>HYPERLINK("https://sectors.patentforecast.com/pmd/US10708823","PMD")</f>
        <v>0.0</v>
      </c>
      <c r="L470" s="2" t="n">
        <f>HYPERLINK("https://globaldossier.uspto.gov/result/patent/US/10708823/1","US10708823")</f>
        <v>0.0</v>
      </c>
      <c r="M470" t="s">
        <v>2644</v>
      </c>
      <c r="N470" t="s">
        <v>687</v>
      </c>
      <c r="O470" t="s">
        <v>688</v>
      </c>
      <c r="P470" t="s">
        <v>2645</v>
      </c>
      <c r="Q470" s="3" t="n">
        <v>43095.0</v>
      </c>
      <c r="R470" s="3" t="n">
        <v>44019.0</v>
      </c>
      <c r="S470" s="3" t="n">
        <v>44022.81651042824</v>
      </c>
      <c r="T470" s="3" t="n">
        <v>44494.70930741898</v>
      </c>
      <c r="U470" t="s">
        <v>2646</v>
      </c>
      <c r="V470" t="s">
        <v>2647</v>
      </c>
    </row>
    <row r="471">
      <c r="A471" t="s">
        <v>1929</v>
      </c>
      <c r="B471" t="s">
        <v>2648</v>
      </c>
      <c r="C471" t="s">
        <v>61</v>
      </c>
      <c r="D471" t="s">
        <v>61</v>
      </c>
      <c r="E471" t="s">
        <v>2649</v>
      </c>
      <c r="F471" s="2" t="n">
        <f>HYPERLINK("https://patents.google.com/patent/US10696414","Google")</f>
        <v>0.0</v>
      </c>
      <c r="G471" s="2" t="n">
        <f>HYPERLINK("https://patentcenter.uspto.gov/applications/15331707","Patent Center")</f>
        <v>0.0</v>
      </c>
      <c r="H471" s="2" t="n">
        <f>HYPERLINK("https://worldwide.espacenet.com/patent/search?q=US10696414","Espacenet")</f>
        <v>0.0</v>
      </c>
      <c r="I471" s="2" t="n">
        <f>HYPERLINK("https://ppubs.uspto.gov/pubwebapp/external.html?q=10696414.pn.","USPTO")</f>
        <v>0.0</v>
      </c>
      <c r="J471" s="2" t="n">
        <f>HYPERLINK("https://image-ppubs.uspto.gov/dirsearch-public/print/downloadPdf/10696414","USPTO PDF")</f>
        <v>0.0</v>
      </c>
      <c r="K471" s="2" t="n">
        <f>HYPERLINK("https://sectors.patentforecast.com/pmd/US10696414","PMD")</f>
        <v>0.0</v>
      </c>
      <c r="L471" s="2" t="n">
        <f>HYPERLINK("https://globaldossier.uspto.gov/result/patent/US/10696414/1","US10696414")</f>
        <v>0.0</v>
      </c>
      <c r="M471" t="s">
        <v>2650</v>
      </c>
      <c r="N471" t="s">
        <v>2651</v>
      </c>
      <c r="O471" t="s">
        <v>2652</v>
      </c>
      <c r="P471" t="s">
        <v>2653</v>
      </c>
      <c r="Q471" s="3" t="n">
        <v>42664.0</v>
      </c>
      <c r="R471" s="3" t="n">
        <v>44012.0</v>
      </c>
      <c r="S471" s="3" t="n">
        <v>44015.826098969905</v>
      </c>
      <c r="T471" s="3" t="n">
        <v>44494.67884784722</v>
      </c>
      <c r="U471" t="s">
        <v>2654</v>
      </c>
      <c r="V471" t="s">
        <v>2655</v>
      </c>
    </row>
    <row r="472">
      <c r="A472" t="s">
        <v>1929</v>
      </c>
      <c r="B472" t="s">
        <v>2656</v>
      </c>
      <c r="C472" t="s">
        <v>24</v>
      </c>
      <c r="D472" t="s">
        <v>25</v>
      </c>
      <c r="E472" t="s">
        <v>2657</v>
      </c>
      <c r="F472" s="2" t="n">
        <f>HYPERLINK("https://patents.google.com/patent/US10694147","Google")</f>
        <v>0.0</v>
      </c>
      <c r="G472" s="2" t="n">
        <f>HYPERLINK("https://patentcenter.uspto.gov/applications/16005440","Patent Center")</f>
        <v>0.0</v>
      </c>
      <c r="H472" s="2" t="n">
        <f>HYPERLINK("https://worldwide.espacenet.com/patent/search?q=US10694147","Espacenet")</f>
        <v>0.0</v>
      </c>
      <c r="I472" s="2" t="n">
        <f>HYPERLINK("https://ppubs.uspto.gov/pubwebapp/external.html?q=10694147.pn.","USPTO")</f>
        <v>0.0</v>
      </c>
      <c r="J472" s="2" t="n">
        <f>HYPERLINK("https://image-ppubs.uspto.gov/dirsearch-public/print/downloadPdf/10694147","USPTO PDF")</f>
        <v>0.0</v>
      </c>
      <c r="K472" s="2" t="n">
        <f>HYPERLINK("https://sectors.patentforecast.com/pmd/US10694147","PMD")</f>
        <v>0.0</v>
      </c>
      <c r="L472" s="2" t="n">
        <f>HYPERLINK("https://globaldossier.uspto.gov/result/patent/US/10694147/1","US10694147")</f>
        <v>0.0</v>
      </c>
      <c r="M472" t="s">
        <v>2658</v>
      </c>
      <c r="N472" t="s">
        <v>2659</v>
      </c>
      <c r="O472" t="s">
        <v>2660</v>
      </c>
      <c r="P472" t="s">
        <v>2661</v>
      </c>
      <c r="Q472" s="3" t="n">
        <v>43262.0</v>
      </c>
      <c r="R472" s="3" t="n">
        <v>44005.0</v>
      </c>
      <c r="S472" s="3" t="n">
        <v>44008.83976996528</v>
      </c>
      <c r="T472" s="3" t="n">
        <v>44494.66244792824</v>
      </c>
      <c r="U472" t="s">
        <v>2662</v>
      </c>
      <c r="V472" t="s">
        <v>2663</v>
      </c>
    </row>
    <row r="473">
      <c r="A473" t="s">
        <v>1929</v>
      </c>
      <c r="B473" t="s">
        <v>2664</v>
      </c>
      <c r="C473" t="s">
        <v>24</v>
      </c>
      <c r="D473" t="s">
        <v>25</v>
      </c>
      <c r="E473" t="s">
        <v>2665</v>
      </c>
      <c r="F473" s="2" t="n">
        <f>HYPERLINK("https://patents.google.com/patent/US10693530","Google")</f>
        <v>0.0</v>
      </c>
      <c r="G473" s="2" t="n">
        <f>HYPERLINK("https://patentcenter.uspto.gov/applications/16540033","Patent Center")</f>
        <v>0.0</v>
      </c>
      <c r="H473" s="2" t="n">
        <f>HYPERLINK("https://worldwide.espacenet.com/patent/search?q=US10693530","Espacenet")</f>
        <v>0.0</v>
      </c>
      <c r="I473" s="2" t="n">
        <f>HYPERLINK("https://ppubs.uspto.gov/pubwebapp/external.html?q=10693530.pn.","USPTO")</f>
        <v>0.0</v>
      </c>
      <c r="J473" s="2" t="n">
        <f>HYPERLINK("https://image-ppubs.uspto.gov/dirsearch-public/print/downloadPdf/10693530","USPTO PDF")</f>
        <v>0.0</v>
      </c>
      <c r="K473" s="2" t="n">
        <f>HYPERLINK("https://sectors.patentforecast.com/pmd/US10693530","PMD")</f>
        <v>0.0</v>
      </c>
      <c r="L473" s="2" t="n">
        <f>HYPERLINK("https://globaldossier.uspto.gov/result/patent/US/10693530/1","US10693530")</f>
        <v>0.0</v>
      </c>
      <c r="M473" t="s">
        <v>728</v>
      </c>
      <c r="N473" t="s">
        <v>154</v>
      </c>
      <c r="O473" t="s">
        <v>155</v>
      </c>
      <c r="P473" t="s">
        <v>2545</v>
      </c>
      <c r="Q473" s="3" t="n">
        <v>43690.0</v>
      </c>
      <c r="R473" s="3" t="n">
        <v>44005.0</v>
      </c>
      <c r="S473" s="3" t="n">
        <v>44496.75751270833</v>
      </c>
      <c r="T473" s="3" t="n">
        <v>44496.76168361111</v>
      </c>
      <c r="U473" t="s">
        <v>2546</v>
      </c>
      <c r="V473" t="s">
        <v>923</v>
      </c>
    </row>
    <row r="474">
      <c r="A474" t="s">
        <v>1929</v>
      </c>
      <c r="B474" t="s">
        <v>2666</v>
      </c>
      <c r="C474" t="s">
        <v>24</v>
      </c>
      <c r="D474" t="s">
        <v>25</v>
      </c>
      <c r="E474" t="s">
        <v>2667</v>
      </c>
      <c r="F474" s="2" t="n">
        <f>HYPERLINK("https://patents.google.com/patent/US10687379","Google")</f>
        <v>0.0</v>
      </c>
      <c r="G474" s="2" t="n">
        <f>HYPERLINK("https://patentcenter.uspto.gov/applications/16237036","Patent Center")</f>
        <v>0.0</v>
      </c>
      <c r="H474" s="2" t="n">
        <f>HYPERLINK("https://worldwide.espacenet.com/patent/search?q=US10687379","Espacenet")</f>
        <v>0.0</v>
      </c>
      <c r="I474" s="2" t="n">
        <f>HYPERLINK("https://ppubs.uspto.gov/pubwebapp/external.html?q=10687379.pn.","USPTO")</f>
        <v>0.0</v>
      </c>
      <c r="J474" s="2" t="n">
        <f>HYPERLINK("https://image-ppubs.uspto.gov/dirsearch-public/print/downloadPdf/10687379","USPTO PDF")</f>
        <v>0.0</v>
      </c>
      <c r="K474" s="2" t="n">
        <f>HYPERLINK("https://sectors.patentforecast.com/pmd/US10687379","PMD")</f>
        <v>0.0</v>
      </c>
      <c r="L474" s="2" t="n">
        <f>HYPERLINK("https://globaldossier.uspto.gov/result/patent/US/10687379/1","US10687379")</f>
        <v>0.0</v>
      </c>
      <c r="M474" t="s">
        <v>2668</v>
      </c>
      <c r="N474" t="s">
        <v>2669</v>
      </c>
      <c r="O474" t="s">
        <v>2669</v>
      </c>
      <c r="P474" t="s">
        <v>2670</v>
      </c>
      <c r="Q474" s="3" t="n">
        <v>43465.0</v>
      </c>
      <c r="R474" s="3" t="n">
        <v>43998.0</v>
      </c>
      <c r="S474" s="3" t="n">
        <v>44001.86448119213</v>
      </c>
      <c r="T474" s="3" t="n">
        <v>44494.60833466435</v>
      </c>
      <c r="U474" t="s">
        <v>2671</v>
      </c>
      <c r="V474" t="s">
        <v>2672</v>
      </c>
    </row>
    <row r="475">
      <c r="A475" t="s">
        <v>1929</v>
      </c>
      <c r="B475" t="s">
        <v>2673</v>
      </c>
      <c r="C475" t="s">
        <v>24</v>
      </c>
      <c r="D475" t="s">
        <v>25</v>
      </c>
      <c r="E475" t="s">
        <v>2674</v>
      </c>
      <c r="F475" s="2" t="n">
        <f>HYPERLINK("https://patents.google.com/patent/US10680343","Google")</f>
        <v>0.0</v>
      </c>
      <c r="G475" s="2" t="n">
        <f>HYPERLINK("https://patentcenter.uspto.gov/applications/16593188","Patent Center")</f>
        <v>0.0</v>
      </c>
      <c r="H475" s="2" t="n">
        <f>HYPERLINK("https://worldwide.espacenet.com/patent/search?q=US10680343","Espacenet")</f>
        <v>0.0</v>
      </c>
      <c r="I475" s="2" t="n">
        <f>HYPERLINK("https://ppubs.uspto.gov/pubwebapp/external.html?q=10680343.pn.","USPTO")</f>
        <v>0.0</v>
      </c>
      <c r="J475" s="2" t="n">
        <f>HYPERLINK("https://image-ppubs.uspto.gov/dirsearch-public/print/downloadPdf/10680343","USPTO PDF")</f>
        <v>0.0</v>
      </c>
      <c r="K475" s="2" t="n">
        <f>HYPERLINK("https://sectors.patentforecast.com/pmd/US10680343","PMD")</f>
        <v>0.0</v>
      </c>
      <c r="L475" s="2" t="n">
        <f>HYPERLINK("https://globaldossier.uspto.gov/result/patent/US/10680343/1","US10680343")</f>
        <v>0.0</v>
      </c>
      <c r="M475" t="s">
        <v>667</v>
      </c>
      <c r="N475" t="s">
        <v>227</v>
      </c>
      <c r="O475" t="s">
        <v>228</v>
      </c>
      <c r="P475" t="s">
        <v>1965</v>
      </c>
      <c r="Q475" s="3" t="n">
        <v>43742.0</v>
      </c>
      <c r="R475" s="3" t="n">
        <v>43991.0</v>
      </c>
      <c r="S475" s="3" t="n">
        <v>43994.07363881944</v>
      </c>
      <c r="T475" s="3" t="n">
        <v>44494.56037709491</v>
      </c>
      <c r="U475" t="s">
        <v>1966</v>
      </c>
      <c r="V475" t="s">
        <v>199</v>
      </c>
    </row>
    <row r="476">
      <c r="A476" t="s">
        <v>1929</v>
      </c>
      <c r="B476" t="s">
        <v>2675</v>
      </c>
      <c r="C476" t="s">
        <v>61</v>
      </c>
      <c r="D476" t="s">
        <v>61</v>
      </c>
      <c r="E476" t="s">
        <v>2676</v>
      </c>
      <c r="F476" s="2" t="n">
        <f>HYPERLINK("https://patents.google.com/patent/US10679431","Google")</f>
        <v>0.0</v>
      </c>
      <c r="G476" s="2" t="n">
        <f>HYPERLINK("https://patentcenter.uspto.gov/applications/15682886","Patent Center")</f>
        <v>0.0</v>
      </c>
      <c r="H476" s="2" t="n">
        <f>HYPERLINK("https://worldwide.espacenet.com/patent/search?q=US10679431","Espacenet")</f>
        <v>0.0</v>
      </c>
      <c r="I476" s="2" t="n">
        <f>HYPERLINK("https://ppubs.uspto.gov/pubwebapp/external.html?q=10679431.pn.","USPTO")</f>
        <v>0.0</v>
      </c>
      <c r="J476" s="2" t="n">
        <f>HYPERLINK("https://image-ppubs.uspto.gov/dirsearch-public/print/downloadPdf/10679431","USPTO PDF")</f>
        <v>0.0</v>
      </c>
      <c r="K476" s="2" t="n">
        <f>HYPERLINK("https://sectors.patentforecast.com/pmd/US10679431","PMD")</f>
        <v>0.0</v>
      </c>
      <c r="L476" s="2" t="n">
        <f>HYPERLINK("https://globaldossier.uspto.gov/result/patent/US/10679431/1","US10679431")</f>
        <v>0.0</v>
      </c>
      <c r="M476" t="s">
        <v>2677</v>
      </c>
      <c r="N476" t="s">
        <v>687</v>
      </c>
      <c r="O476" t="s">
        <v>688</v>
      </c>
      <c r="P476" t="s">
        <v>2678</v>
      </c>
      <c r="Q476" s="3" t="n">
        <v>42969.0</v>
      </c>
      <c r="R476" s="3" t="n">
        <v>43991.0</v>
      </c>
      <c r="S476" s="3" t="n">
        <v>43992.065660555556</v>
      </c>
      <c r="T476" s="3" t="n">
        <v>44494.53368202546</v>
      </c>
      <c r="U476" t="s">
        <v>2679</v>
      </c>
      <c r="V476" t="s">
        <v>2680</v>
      </c>
    </row>
    <row r="477">
      <c r="A477" t="s">
        <v>1929</v>
      </c>
      <c r="B477" t="s">
        <v>2681</v>
      </c>
      <c r="C477" t="s">
        <v>24</v>
      </c>
      <c r="D477" t="s">
        <v>25</v>
      </c>
      <c r="E477" t="s">
        <v>2682</v>
      </c>
      <c r="F477" s="2" t="n">
        <f>HYPERLINK("https://patents.google.com/patent/US10674014","Google")</f>
        <v>0.0</v>
      </c>
      <c r="G477" s="2" t="n">
        <f>HYPERLINK("https://patentcenter.uspto.gov/applications/16656774","Patent Center")</f>
        <v>0.0</v>
      </c>
      <c r="H477" s="2" t="n">
        <f>HYPERLINK("https://worldwide.espacenet.com/patent/search?q=US10674014","Espacenet")</f>
        <v>0.0</v>
      </c>
      <c r="I477" s="2" t="n">
        <f>HYPERLINK("https://ppubs.uspto.gov/pubwebapp/external.html?q=10674014.pn.","USPTO")</f>
        <v>0.0</v>
      </c>
      <c r="J477" s="2" t="n">
        <f>HYPERLINK("https://image-ppubs.uspto.gov/dirsearch-public/print/downloadPdf/10674014","USPTO PDF")</f>
        <v>0.0</v>
      </c>
      <c r="K477" s="2" t="n">
        <f>HYPERLINK("https://sectors.patentforecast.com/pmd/US10674014","PMD")</f>
        <v>0.0</v>
      </c>
      <c r="L477" s="2" t="n">
        <f>HYPERLINK("https://globaldossier.uspto.gov/result/patent/US/10674014/1","US10674014")</f>
        <v>0.0</v>
      </c>
      <c r="M477" t="s">
        <v>2683</v>
      </c>
      <c r="N477" t="s">
        <v>2684</v>
      </c>
      <c r="O477" t="s">
        <v>2685</v>
      </c>
      <c r="P477" t="s">
        <v>2686</v>
      </c>
      <c r="Q477" s="3" t="n">
        <v>43756.0</v>
      </c>
      <c r="R477" s="3" t="n">
        <v>43984.0</v>
      </c>
      <c r="S477" s="3" t="n">
        <v>43985.05690429398</v>
      </c>
      <c r="T477" s="3" t="n">
        <v>44494.48095130787</v>
      </c>
      <c r="U477" t="s">
        <v>2687</v>
      </c>
      <c r="V477" t="s">
        <v>2688</v>
      </c>
    </row>
    <row r="478">
      <c r="A478" t="s">
        <v>1929</v>
      </c>
      <c r="B478" t="s">
        <v>2689</v>
      </c>
      <c r="C478" t="s">
        <v>61</v>
      </c>
      <c r="D478" t="s">
        <v>61</v>
      </c>
      <c r="E478" t="s">
        <v>2690</v>
      </c>
      <c r="F478" s="2" t="n">
        <f>HYPERLINK("https://patents.google.com/patent/US10672060","Google")</f>
        <v>0.0</v>
      </c>
      <c r="G478" s="2" t="n">
        <f>HYPERLINK("https://patentcenter.uspto.gov/applications/15396610","Patent Center")</f>
        <v>0.0</v>
      </c>
      <c r="H478" s="2" t="n">
        <f>HYPERLINK("https://worldwide.espacenet.com/patent/search?q=US10672060","Espacenet")</f>
        <v>0.0</v>
      </c>
      <c r="I478" s="2" t="n">
        <f>HYPERLINK("https://ppubs.uspto.gov/pubwebapp/external.html?q=10672060.pn.","USPTO")</f>
        <v>0.0</v>
      </c>
      <c r="J478" s="2" t="n">
        <f>HYPERLINK("https://image-ppubs.uspto.gov/dirsearch-public/print/downloadPdf/10672060","USPTO PDF")</f>
        <v>0.0</v>
      </c>
      <c r="K478" s="2" t="n">
        <f>HYPERLINK("https://sectors.patentforecast.com/pmd/US10672060","PMD")</f>
        <v>0.0</v>
      </c>
      <c r="L478" s="2" t="n">
        <f>HYPERLINK("https://globaldossier.uspto.gov/result/patent/US/10672060/1","US10672060")</f>
        <v>0.0</v>
      </c>
      <c r="M478" t="s">
        <v>2691</v>
      </c>
      <c r="N478" t="s">
        <v>2692</v>
      </c>
      <c r="O478" t="s">
        <v>2693</v>
      </c>
      <c r="P478" t="s">
        <v>2694</v>
      </c>
      <c r="Q478" s="3" t="n">
        <v>42735.0</v>
      </c>
      <c r="R478" s="3" t="n">
        <v>43984.0</v>
      </c>
      <c r="S478" s="3" t="n">
        <v>43985.05690429398</v>
      </c>
      <c r="T478" s="3" t="n">
        <v>44494.47708888889</v>
      </c>
      <c r="U478" t="s">
        <v>2695</v>
      </c>
      <c r="V478" t="s">
        <v>2696</v>
      </c>
    </row>
    <row r="479">
      <c r="A479" t="s">
        <v>1929</v>
      </c>
      <c r="B479" t="s">
        <v>2697</v>
      </c>
      <c r="C479" t="s">
        <v>24</v>
      </c>
      <c r="D479" t="s">
        <v>25</v>
      </c>
      <c r="E479" t="s">
        <v>2698</v>
      </c>
      <c r="F479" s="2" t="n">
        <f>HYPERLINK("https://patents.google.com/patent/US10670749","Google")</f>
        <v>0.0</v>
      </c>
      <c r="G479" s="2" t="n">
        <f>HYPERLINK("https://patentcenter.uspto.gov/applications/15251677","Patent Center")</f>
        <v>0.0</v>
      </c>
      <c r="H479" s="2" t="n">
        <f>HYPERLINK("https://worldwide.espacenet.com/patent/search?q=US10670749","Espacenet")</f>
        <v>0.0</v>
      </c>
      <c r="I479" s="2" t="n">
        <f>HYPERLINK("https://ppubs.uspto.gov/pubwebapp/external.html?q=10670749.pn.","USPTO")</f>
        <v>0.0</v>
      </c>
      <c r="J479" s="2" t="n">
        <f>HYPERLINK("https://image-ppubs.uspto.gov/dirsearch-public/print/downloadPdf/10670749","USPTO PDF")</f>
        <v>0.0</v>
      </c>
      <c r="K479" s="2" t="n">
        <f>HYPERLINK("https://sectors.patentforecast.com/pmd/US10670749","PMD")</f>
        <v>0.0</v>
      </c>
      <c r="L479" s="2" t="n">
        <f>HYPERLINK("https://globaldossier.uspto.gov/result/patent/US/10670749/1","US10670749")</f>
        <v>0.0</v>
      </c>
      <c r="M479" t="s">
        <v>2699</v>
      </c>
      <c r="N479" t="s">
        <v>2700</v>
      </c>
      <c r="O479" t="s">
        <v>2701</v>
      </c>
      <c r="P479" t="s">
        <v>2702</v>
      </c>
      <c r="Q479" s="3" t="n">
        <v>42612.0</v>
      </c>
      <c r="R479" s="3" t="n">
        <v>43984.0</v>
      </c>
      <c r="S479" s="3" t="n">
        <v>43985.08560752315</v>
      </c>
      <c r="T479" s="3" t="n">
        <v>44494.475783125</v>
      </c>
      <c r="U479" t="s">
        <v>2703</v>
      </c>
      <c r="V479" t="s">
        <v>2704</v>
      </c>
    </row>
    <row r="480">
      <c r="A480" t="s">
        <v>1929</v>
      </c>
      <c r="B480" t="s">
        <v>2705</v>
      </c>
      <c r="C480" t="s">
        <v>61</v>
      </c>
      <c r="D480" t="s">
        <v>61</v>
      </c>
      <c r="E480" t="s">
        <v>2706</v>
      </c>
      <c r="F480" s="2" t="n">
        <f>HYPERLINK("https://patents.google.com/patent/US10660144","Google")</f>
        <v>0.0</v>
      </c>
      <c r="G480" s="2" t="n">
        <f>HYPERLINK("https://patentcenter.uspto.gov/applications/16397659","Patent Center")</f>
        <v>0.0</v>
      </c>
      <c r="H480" s="2" t="n">
        <f>HYPERLINK("https://worldwide.espacenet.com/patent/search?q=US10660144","Espacenet")</f>
        <v>0.0</v>
      </c>
      <c r="I480" s="2" t="n">
        <f>HYPERLINK("https://ppubs.uspto.gov/pubwebapp/external.html?q=10660144.pn.","USPTO")</f>
        <v>0.0</v>
      </c>
      <c r="J480" s="2" t="n">
        <f>HYPERLINK("https://image-ppubs.uspto.gov/dirsearch-public/print/downloadPdf/10660144","USPTO PDF")</f>
        <v>0.0</v>
      </c>
      <c r="K480" s="2" t="n">
        <f>HYPERLINK("https://sectors.patentforecast.com/pmd/US10660144","PMD")</f>
        <v>0.0</v>
      </c>
      <c r="L480" s="2" t="n">
        <f>HYPERLINK("https://globaldossier.uspto.gov/result/patent/US/10660144/1","US10660144")</f>
        <v>0.0</v>
      </c>
      <c r="M480" t="s">
        <v>2707</v>
      </c>
      <c r="N480" t="s">
        <v>687</v>
      </c>
      <c r="O480" t="s">
        <v>688</v>
      </c>
      <c r="P480" t="s">
        <v>2708</v>
      </c>
      <c r="Q480" s="3" t="n">
        <v>43584.0</v>
      </c>
      <c r="R480" s="3" t="n">
        <v>43970.0</v>
      </c>
      <c r="S480" s="3" t="n">
        <v>43971.204349085645</v>
      </c>
      <c r="T480" s="3" t="n">
        <v>43971.44278315972</v>
      </c>
      <c r="U480" t="s">
        <v>2709</v>
      </c>
      <c r="V480" t="s">
        <v>2710</v>
      </c>
    </row>
    <row r="481">
      <c r="A481" t="s">
        <v>1929</v>
      </c>
      <c r="B481" t="s">
        <v>2711</v>
      </c>
      <c r="C481" t="s">
        <v>24</v>
      </c>
      <c r="D481" t="s">
        <v>25</v>
      </c>
      <c r="E481" t="s">
        <v>2397</v>
      </c>
      <c r="F481" s="2" t="n">
        <f>HYPERLINK("https://patents.google.com/patent/US10659578","Google")</f>
        <v>0.0</v>
      </c>
      <c r="G481" s="2" t="n">
        <f>HYPERLINK("https://patentcenter.uspto.gov/applications/16536414","Patent Center")</f>
        <v>0.0</v>
      </c>
      <c r="H481" s="2" t="n">
        <f>HYPERLINK("https://worldwide.espacenet.com/patent/search?q=US10659578","Espacenet")</f>
        <v>0.0</v>
      </c>
      <c r="I481" s="2" t="n">
        <f>HYPERLINK("https://ppubs.uspto.gov/pubwebapp/external.html?q=10659578.pn.","USPTO")</f>
        <v>0.0</v>
      </c>
      <c r="J481" s="2" t="n">
        <f>HYPERLINK("https://image-ppubs.uspto.gov/dirsearch-public/print/downloadPdf/10659578","USPTO PDF")</f>
        <v>0.0</v>
      </c>
      <c r="K481" s="2" t="n">
        <f>HYPERLINK("https://sectors.patentforecast.com/pmd/US10659578","PMD")</f>
        <v>0.0</v>
      </c>
      <c r="L481" s="2" t="n">
        <f>HYPERLINK("https://globaldossier.uspto.gov/result/patent/US/10659578/1","US10659578")</f>
        <v>0.0</v>
      </c>
      <c r="M481" t="s">
        <v>732</v>
      </c>
      <c r="N481" t="s">
        <v>314</v>
      </c>
      <c r="O481" t="s">
        <v>315</v>
      </c>
      <c r="P481" t="s">
        <v>2012</v>
      </c>
      <c r="Q481" s="3" t="n">
        <v>43686.0</v>
      </c>
      <c r="R481" s="3" t="n">
        <v>43970.0</v>
      </c>
      <c r="S481" s="3" t="n">
        <v>43971.04230685185</v>
      </c>
      <c r="T481" s="3" t="n">
        <v>43971.441530972224</v>
      </c>
      <c r="U481" t="s">
        <v>2712</v>
      </c>
      <c r="V481" t="s">
        <v>318</v>
      </c>
    </row>
    <row r="482">
      <c r="A482" t="s">
        <v>1929</v>
      </c>
      <c r="B482" t="s">
        <v>2713</v>
      </c>
      <c r="C482" t="s">
        <v>168</v>
      </c>
      <c r="D482" t="s">
        <v>168</v>
      </c>
      <c r="E482" t="s">
        <v>2714</v>
      </c>
      <c r="F482" s="2" t="n">
        <f>HYPERLINK("https://patents.google.com/patent/US10651545","Google")</f>
        <v>0.0</v>
      </c>
      <c r="G482" s="2" t="n">
        <f>HYPERLINK("https://patentcenter.uspto.gov/applications/16502574","Patent Center")</f>
        <v>0.0</v>
      </c>
      <c r="H482" s="2" t="n">
        <f>HYPERLINK("https://worldwide.espacenet.com/patent/search?q=US10651545","Espacenet")</f>
        <v>0.0</v>
      </c>
      <c r="I482" s="2" t="n">
        <f>HYPERLINK("https://ppubs.uspto.gov/pubwebapp/external.html?q=10651545.pn.","USPTO")</f>
        <v>0.0</v>
      </c>
      <c r="J482" s="2" t="n">
        <f>HYPERLINK("https://image-ppubs.uspto.gov/dirsearch-public/print/downloadPdf/10651545","USPTO PDF")</f>
        <v>0.0</v>
      </c>
      <c r="K482" s="2" t="n">
        <f>HYPERLINK("https://sectors.patentforecast.com/pmd/US10651545","PMD")</f>
        <v>0.0</v>
      </c>
      <c r="L482" s="2" t="n">
        <f>HYPERLINK("https://globaldossier.uspto.gov/result/patent/US/10651545/1","US10651545")</f>
        <v>0.0</v>
      </c>
      <c r="M482" t="s">
        <v>746</v>
      </c>
      <c r="N482" t="s">
        <v>314</v>
      </c>
      <c r="O482" t="s">
        <v>315</v>
      </c>
      <c r="P482" t="s">
        <v>2012</v>
      </c>
      <c r="Q482" s="3" t="n">
        <v>43649.0</v>
      </c>
      <c r="R482" s="3" t="n">
        <v>43963.0</v>
      </c>
      <c r="S482" s="3" t="n">
        <v>43964.04225658565</v>
      </c>
      <c r="T482" s="3" t="n">
        <v>43964.43273568287</v>
      </c>
      <c r="U482" t="s">
        <v>2715</v>
      </c>
      <c r="V482" t="s">
        <v>748</v>
      </c>
    </row>
    <row r="483">
      <c r="A483" t="s">
        <v>1929</v>
      </c>
      <c r="B483" t="s">
        <v>2716</v>
      </c>
      <c r="C483" t="s">
        <v>61</v>
      </c>
      <c r="D483" t="s">
        <v>61</v>
      </c>
      <c r="E483" t="s">
        <v>2717</v>
      </c>
      <c r="F483" s="2" t="n">
        <f>HYPERLINK("https://patents.google.com/patent/US10645603","Google")</f>
        <v>0.0</v>
      </c>
      <c r="G483" s="2" t="n">
        <f>HYPERLINK("https://patentcenter.uspto.gov/applications/15918554","Patent Center")</f>
        <v>0.0</v>
      </c>
      <c r="H483" s="2" t="n">
        <f>HYPERLINK("https://worldwide.espacenet.com/patent/search?q=US10645603","Espacenet")</f>
        <v>0.0</v>
      </c>
      <c r="I483" s="2" t="n">
        <f>HYPERLINK("https://ppubs.uspto.gov/pubwebapp/external.html?q=10645603.pn.","USPTO")</f>
        <v>0.0</v>
      </c>
      <c r="J483" s="2" t="n">
        <f>HYPERLINK("https://image-ppubs.uspto.gov/dirsearch-public/print/downloadPdf/10645603","USPTO PDF")</f>
        <v>0.0</v>
      </c>
      <c r="K483" s="2" t="n">
        <f>HYPERLINK("https://sectors.patentforecast.com/pmd/US10645603","PMD")</f>
        <v>0.0</v>
      </c>
      <c r="L483" s="2" t="n">
        <f>HYPERLINK("https://globaldossier.uspto.gov/result/patent/US/10645603/1","US10645603")</f>
        <v>0.0</v>
      </c>
      <c r="M483" t="s">
        <v>779</v>
      </c>
      <c r="N483" t="s">
        <v>780</v>
      </c>
      <c r="O483" t="s">
        <v>781</v>
      </c>
      <c r="P483" t="s">
        <v>2718</v>
      </c>
      <c r="Q483" s="3" t="n">
        <v>43171.0</v>
      </c>
      <c r="R483" s="3" t="n">
        <v>43956.0</v>
      </c>
      <c r="S483" s="3" t="n">
        <v>43957.06036880787</v>
      </c>
      <c r="T483" s="3" t="n">
        <v>43957.59591089121</v>
      </c>
      <c r="U483" t="s">
        <v>2719</v>
      </c>
      <c r="V483" t="s">
        <v>2720</v>
      </c>
    </row>
    <row r="484">
      <c r="A484" t="s">
        <v>1929</v>
      </c>
      <c r="B484" t="s">
        <v>2721</v>
      </c>
      <c r="C484" t="s">
        <v>168</v>
      </c>
      <c r="D484" t="s">
        <v>168</v>
      </c>
      <c r="E484" t="s">
        <v>2722</v>
      </c>
      <c r="F484" s="2" t="n">
        <f>HYPERLINK("https://patents.google.com/patent/US10616871","Google")</f>
        <v>0.0</v>
      </c>
      <c r="G484" s="2" t="n">
        <f>HYPERLINK("https://patentcenter.uspto.gov/applications/16087629","Patent Center")</f>
        <v>0.0</v>
      </c>
      <c r="H484" s="2" t="n">
        <f>HYPERLINK("https://worldwide.espacenet.com/patent/search?q=US10616871","Espacenet")</f>
        <v>0.0</v>
      </c>
      <c r="I484" s="2" t="n">
        <f>HYPERLINK("https://ppubs.uspto.gov/pubwebapp/external.html?q=10616871.pn.","USPTO")</f>
        <v>0.0</v>
      </c>
      <c r="J484" s="2" t="n">
        <f>HYPERLINK("https://image-ppubs.uspto.gov/dirsearch-public/print/downloadPdf/10616871","USPTO PDF")</f>
        <v>0.0</v>
      </c>
      <c r="K484" s="2" t="n">
        <f>HYPERLINK("https://sectors.patentforecast.com/pmd/US10616871","PMD")</f>
        <v>0.0</v>
      </c>
      <c r="L484" s="2" t="n">
        <f>HYPERLINK("https://globaldossier.uspto.gov/result/patent/US/10616871/1","US10616871")</f>
        <v>0.0</v>
      </c>
      <c r="M484" t="s">
        <v>2723</v>
      </c>
      <c r="N484" t="s">
        <v>2724</v>
      </c>
      <c r="O484" t="s">
        <v>2725</v>
      </c>
      <c r="P484" t="s">
        <v>2726</v>
      </c>
      <c r="Q484" s="3" t="n">
        <v>42807.0</v>
      </c>
      <c r="R484" s="3" t="n">
        <v>43928.0</v>
      </c>
      <c r="S484" s="3" t="n">
        <v>43929.061180034725</v>
      </c>
      <c r="T484" s="3" t="n">
        <v>43929.48672775463</v>
      </c>
      <c r="U484" t="s">
        <v>2727</v>
      </c>
      <c r="V484" t="s">
        <v>2728</v>
      </c>
    </row>
    <row r="485">
      <c r="A485" t="s">
        <v>1929</v>
      </c>
      <c r="B485" t="s">
        <v>2729</v>
      </c>
      <c r="C485" t="s">
        <v>61</v>
      </c>
      <c r="D485" t="s">
        <v>61</v>
      </c>
      <c r="E485" t="s">
        <v>2730</v>
      </c>
      <c r="F485" s="2" t="n">
        <f>HYPERLINK("https://patents.google.com/patent/US10616813","Google")</f>
        <v>0.0</v>
      </c>
      <c r="G485" s="2" t="n">
        <f>HYPERLINK("https://patentcenter.uspto.gov/applications/15649016","Patent Center")</f>
        <v>0.0</v>
      </c>
      <c r="H485" s="2" t="n">
        <f>HYPERLINK("https://worldwide.espacenet.com/patent/search?q=US10616813","Espacenet")</f>
        <v>0.0</v>
      </c>
      <c r="I485" s="2" t="n">
        <f>HYPERLINK("https://ppubs.uspto.gov/pubwebapp/external.html?q=10616813.pn.","USPTO")</f>
        <v>0.0</v>
      </c>
      <c r="J485" s="2" t="n">
        <f>HYPERLINK("https://image-ppubs.uspto.gov/dirsearch-public/print/downloadPdf/10616813","USPTO PDF")</f>
        <v>0.0</v>
      </c>
      <c r="K485" s="2" t="n">
        <f>HYPERLINK("https://sectors.patentforecast.com/pmd/US10616813","PMD")</f>
        <v>0.0</v>
      </c>
      <c r="L485" s="2" t="n">
        <f>HYPERLINK("https://globaldossier.uspto.gov/result/patent/US/10616813/1","US10616813")</f>
        <v>0.0</v>
      </c>
      <c r="M485" t="s">
        <v>2731</v>
      </c>
      <c r="N485" t="s">
        <v>406</v>
      </c>
      <c r="O485" t="s">
        <v>407</v>
      </c>
      <c r="P485" t="s">
        <v>2732</v>
      </c>
      <c r="Q485" s="3" t="n">
        <v>42929.0</v>
      </c>
      <c r="R485" s="3" t="n">
        <v>43928.0</v>
      </c>
      <c r="S485" s="3" t="n">
        <v>43929.05539298611</v>
      </c>
      <c r="T485" s="3" t="n">
        <v>43929.4857597338</v>
      </c>
      <c r="U485" t="s">
        <v>2733</v>
      </c>
      <c r="V485" t="s">
        <v>2734</v>
      </c>
    </row>
    <row r="486">
      <c r="A486" t="s">
        <v>1929</v>
      </c>
      <c r="B486" t="s">
        <v>2735</v>
      </c>
      <c r="C486" t="s">
        <v>168</v>
      </c>
      <c r="D486" t="s">
        <v>168</v>
      </c>
      <c r="E486" t="s">
        <v>2736</v>
      </c>
      <c r="F486" s="2" t="n">
        <f>HYPERLINK("https://patents.google.com/patent/US10616778","Google")</f>
        <v>0.0</v>
      </c>
      <c r="G486" s="2" t="n">
        <f>HYPERLINK("https://patentcenter.uspto.gov/applications/15755331","Patent Center")</f>
        <v>0.0</v>
      </c>
      <c r="H486" s="2" t="n">
        <f>HYPERLINK("https://worldwide.espacenet.com/patent/search?q=US10616778","Espacenet")</f>
        <v>0.0</v>
      </c>
      <c r="I486" s="2" t="n">
        <f>HYPERLINK("https://ppubs.uspto.gov/pubwebapp/external.html?q=10616778.pn.","USPTO")</f>
        <v>0.0</v>
      </c>
      <c r="J486" s="2" t="n">
        <f>HYPERLINK("https://image-ppubs.uspto.gov/dirsearch-public/print/downloadPdf/10616778","USPTO PDF")</f>
        <v>0.0</v>
      </c>
      <c r="K486" s="2" t="n">
        <f>HYPERLINK("https://sectors.patentforecast.com/pmd/US10616778","PMD")</f>
        <v>0.0</v>
      </c>
      <c r="L486" s="2" t="n">
        <f>HYPERLINK("https://globaldossier.uspto.gov/result/patent/US/10616778/1","US10616778")</f>
        <v>0.0</v>
      </c>
      <c r="M486" t="s">
        <v>2737</v>
      </c>
      <c r="N486" t="s">
        <v>28</v>
      </c>
      <c r="O486" t="s">
        <v>29</v>
      </c>
      <c r="P486" t="s">
        <v>2738</v>
      </c>
      <c r="Q486" s="3" t="n">
        <v>42296.0</v>
      </c>
      <c r="R486" s="3" t="n">
        <v>43928.0</v>
      </c>
      <c r="S486" s="3" t="n">
        <v>43929.04462907407</v>
      </c>
      <c r="T486" s="3" t="n">
        <v>43929.48033284722</v>
      </c>
      <c r="U486" t="s">
        <v>2739</v>
      </c>
      <c r="V486" t="s">
        <v>2740</v>
      </c>
    </row>
    <row r="487">
      <c r="A487" t="s">
        <v>1929</v>
      </c>
      <c r="B487" t="s">
        <v>2741</v>
      </c>
      <c r="C487" t="s">
        <v>24</v>
      </c>
      <c r="D487" t="s">
        <v>25</v>
      </c>
      <c r="E487" t="s">
        <v>2742</v>
      </c>
      <c r="F487" s="2" t="n">
        <f>HYPERLINK("https://patents.google.com/patent/US10616746","Google")</f>
        <v>0.0</v>
      </c>
      <c r="G487" s="2" t="n">
        <f>HYPERLINK("https://patentcenter.uspto.gov/applications/16272899","Patent Center")</f>
        <v>0.0</v>
      </c>
      <c r="H487" s="2" t="n">
        <f>HYPERLINK("https://worldwide.espacenet.com/patent/search?q=US10616746","Espacenet")</f>
        <v>0.0</v>
      </c>
      <c r="I487" s="2" t="n">
        <f>HYPERLINK("https://ppubs.uspto.gov/pubwebapp/external.html?q=10616746.pn.","USPTO")</f>
        <v>0.0</v>
      </c>
      <c r="J487" s="2" t="n">
        <f>HYPERLINK("https://image-ppubs.uspto.gov/dirsearch-public/print/downloadPdf/10616746","USPTO PDF")</f>
        <v>0.0</v>
      </c>
      <c r="K487" s="2" t="n">
        <f>HYPERLINK("https://sectors.patentforecast.com/pmd/US10616746","PMD")</f>
        <v>0.0</v>
      </c>
      <c r="L487" s="2" t="n">
        <f>HYPERLINK("https://globaldossier.uspto.gov/result/patent/US/10616746/1","US10616746")</f>
        <v>0.0</v>
      </c>
      <c r="M487" t="s">
        <v>663</v>
      </c>
      <c r="N487" t="s">
        <v>187</v>
      </c>
      <c r="O487" t="s">
        <v>188</v>
      </c>
      <c r="P487" t="s">
        <v>2743</v>
      </c>
      <c r="Q487" s="3" t="n">
        <v>43507.0</v>
      </c>
      <c r="R487" s="3" t="n">
        <v>43928.0</v>
      </c>
      <c r="S487" s="3" t="n">
        <v>43929.05990673611</v>
      </c>
      <c r="T487" s="3" t="n">
        <v>43929.48536921296</v>
      </c>
      <c r="U487" t="s">
        <v>2744</v>
      </c>
      <c r="V487" t="s">
        <v>362</v>
      </c>
    </row>
    <row r="488">
      <c r="A488" t="s">
        <v>1929</v>
      </c>
      <c r="B488" t="s">
        <v>2745</v>
      </c>
      <c r="C488" t="s">
        <v>52</v>
      </c>
      <c r="D488" t="s">
        <v>52</v>
      </c>
      <c r="E488" t="s">
        <v>2746</v>
      </c>
      <c r="F488" s="2" t="n">
        <f>HYPERLINK("https://patents.google.com/patent/US10616719","Google")</f>
        <v>0.0</v>
      </c>
      <c r="G488" s="2" t="n">
        <f>HYPERLINK("https://patentcenter.uspto.gov/applications/14968871","Patent Center")</f>
        <v>0.0</v>
      </c>
      <c r="H488" s="2" t="n">
        <f>HYPERLINK("https://worldwide.espacenet.com/patent/search?q=US10616719","Espacenet")</f>
        <v>0.0</v>
      </c>
      <c r="I488" s="2" t="n">
        <f>HYPERLINK("https://ppubs.uspto.gov/pubwebapp/external.html?q=10616719.pn.","USPTO")</f>
        <v>0.0</v>
      </c>
      <c r="J488" s="2" t="n">
        <f>HYPERLINK("https://image-ppubs.uspto.gov/dirsearch-public/print/downloadPdf/10616719","USPTO PDF")</f>
        <v>0.0</v>
      </c>
      <c r="K488" s="2" t="n">
        <f>HYPERLINK("https://sectors.patentforecast.com/pmd/US10616719","PMD")</f>
        <v>0.0</v>
      </c>
      <c r="L488" s="2" t="n">
        <f>HYPERLINK("https://globaldossier.uspto.gov/result/patent/US/10616719/1","US10616719")</f>
        <v>0.0</v>
      </c>
      <c r="M488" t="s">
        <v>2747</v>
      </c>
      <c r="N488" t="s">
        <v>227</v>
      </c>
      <c r="O488" t="s">
        <v>228</v>
      </c>
      <c r="P488" t="s">
        <v>2748</v>
      </c>
      <c r="Q488" s="3" t="n">
        <v>42352.0</v>
      </c>
      <c r="R488" s="3" t="n">
        <v>43928.0</v>
      </c>
      <c r="S488" s="3" t="n">
        <v>43929.0582865625</v>
      </c>
      <c r="T488" s="3" t="n">
        <v>43929.48556114583</v>
      </c>
      <c r="U488" t="s">
        <v>2749</v>
      </c>
      <c r="V488" t="s">
        <v>2750</v>
      </c>
    </row>
    <row r="489">
      <c r="A489" t="s">
        <v>1929</v>
      </c>
      <c r="B489" t="s">
        <v>2751</v>
      </c>
      <c r="C489" t="s">
        <v>24</v>
      </c>
      <c r="D489" t="s">
        <v>25</v>
      </c>
      <c r="E489" t="s">
        <v>2752</v>
      </c>
      <c r="F489" s="2" t="n">
        <f>HYPERLINK("https://patents.google.com/patent/US10616534","Google")</f>
        <v>0.0</v>
      </c>
      <c r="G489" s="2" t="n">
        <f>HYPERLINK("https://patentcenter.uspto.gov/applications/15965098","Patent Center")</f>
        <v>0.0</v>
      </c>
      <c r="H489" s="2" t="n">
        <f>HYPERLINK("https://worldwide.espacenet.com/patent/search?q=US10616534","Espacenet")</f>
        <v>0.0</v>
      </c>
      <c r="I489" s="2" t="n">
        <f>HYPERLINK("https://ppubs.uspto.gov/pubwebapp/external.html?q=10616534.pn.","USPTO")</f>
        <v>0.0</v>
      </c>
      <c r="J489" s="2" t="n">
        <f>HYPERLINK("https://image-ppubs.uspto.gov/dirsearch-public/print/downloadPdf/10616534","USPTO PDF")</f>
        <v>0.0</v>
      </c>
      <c r="K489" s="2" t="n">
        <f>HYPERLINK("https://sectors.patentforecast.com/pmd/US10616534","PMD")</f>
        <v>0.0</v>
      </c>
      <c r="L489" s="2" t="n">
        <f>HYPERLINK("https://globaldossier.uspto.gov/result/patent/US/10616534/1","US10616534")</f>
        <v>0.0</v>
      </c>
      <c r="M489" t="s">
        <v>1013</v>
      </c>
      <c r="N489" t="s">
        <v>283</v>
      </c>
      <c r="O489" t="s">
        <v>284</v>
      </c>
      <c r="P489" t="s">
        <v>2501</v>
      </c>
      <c r="Q489" s="3" t="n">
        <v>43217.0</v>
      </c>
      <c r="R489" s="3" t="n">
        <v>43928.0</v>
      </c>
      <c r="S489" s="3" t="n">
        <v>43929.0582865625</v>
      </c>
      <c r="T489" s="3" t="n">
        <v>43929.48074322916</v>
      </c>
      <c r="U489" t="s">
        <v>2753</v>
      </c>
      <c r="V489" t="s">
        <v>310</v>
      </c>
    </row>
    <row r="490">
      <c r="A490" t="s">
        <v>1929</v>
      </c>
      <c r="B490" t="s">
        <v>2754</v>
      </c>
      <c r="C490" t="s">
        <v>168</v>
      </c>
      <c r="D490" t="s">
        <v>168</v>
      </c>
      <c r="E490" t="s">
        <v>2755</v>
      </c>
      <c r="F490" s="2" t="n">
        <f>HYPERLINK("https://patents.google.com/patent/US10602462","Google")</f>
        <v>0.0</v>
      </c>
      <c r="G490" s="2" t="n">
        <f>HYPERLINK("https://patentcenter.uspto.gov/applications/16206369","Patent Center")</f>
        <v>0.0</v>
      </c>
      <c r="H490" s="2" t="n">
        <f>HYPERLINK("https://worldwide.espacenet.com/patent/search?q=US10602462","Espacenet")</f>
        <v>0.0</v>
      </c>
      <c r="I490" s="2" t="n">
        <f>HYPERLINK("https://ppubs.uspto.gov/pubwebapp/external.html?q=10602462.pn.","USPTO")</f>
        <v>0.0</v>
      </c>
      <c r="J490" s="2" t="n">
        <f>HYPERLINK("https://image-ppubs.uspto.gov/dirsearch-public/print/downloadPdf/10602462","USPTO PDF")</f>
        <v>0.0</v>
      </c>
      <c r="K490" s="2" t="n">
        <f>HYPERLINK("https://sectors.patentforecast.com/pmd/US10602462","PMD")</f>
        <v>0.0</v>
      </c>
      <c r="L490" s="2" t="n">
        <f>HYPERLINK("https://globaldossier.uspto.gov/result/patent/US/10602462/1","US10602462")</f>
        <v>0.0</v>
      </c>
      <c r="M490" t="s">
        <v>2756</v>
      </c>
      <c r="N490" t="s">
        <v>499</v>
      </c>
      <c r="O490" t="s">
        <v>500</v>
      </c>
      <c r="P490" t="s">
        <v>2757</v>
      </c>
      <c r="Q490" s="3" t="n">
        <v>43434.0</v>
      </c>
      <c r="R490" s="3" t="n">
        <v>43914.0</v>
      </c>
      <c r="S490" s="3" t="n">
        <v>43915.06557818287</v>
      </c>
      <c r="T490" s="3" t="n">
        <v>43915.440749305555</v>
      </c>
      <c r="U490" t="s">
        <v>2758</v>
      </c>
      <c r="V490" t="s">
        <v>2759</v>
      </c>
    </row>
    <row r="491">
      <c r="A491" t="s">
        <v>1929</v>
      </c>
      <c r="B491" t="s">
        <v>2760</v>
      </c>
      <c r="C491" t="s">
        <v>24</v>
      </c>
      <c r="D491" t="s">
        <v>25</v>
      </c>
      <c r="E491" t="s">
        <v>2761</v>
      </c>
      <c r="F491" s="2" t="n">
        <f>HYPERLINK("https://patents.google.com/patent/US10602424","Google")</f>
        <v>0.0</v>
      </c>
      <c r="G491" s="2" t="n">
        <f>HYPERLINK("https://patentcenter.uspto.gov/applications/15694369","Patent Center")</f>
        <v>0.0</v>
      </c>
      <c r="H491" s="2" t="n">
        <f>HYPERLINK("https://worldwide.espacenet.com/patent/search?q=US10602424","Espacenet")</f>
        <v>0.0</v>
      </c>
      <c r="I491" s="2" t="n">
        <f>HYPERLINK("https://ppubs.uspto.gov/pubwebapp/external.html?q=10602424.pn.","USPTO")</f>
        <v>0.0</v>
      </c>
      <c r="J491" s="2" t="n">
        <f>HYPERLINK("https://image-ppubs.uspto.gov/dirsearch-public/print/downloadPdf/10602424","USPTO PDF")</f>
        <v>0.0</v>
      </c>
      <c r="K491" s="2" t="n">
        <f>HYPERLINK("https://sectors.patentforecast.com/pmd/US10602424","PMD")</f>
        <v>0.0</v>
      </c>
      <c r="L491" s="2" t="n">
        <f>HYPERLINK("https://globaldossier.uspto.gov/result/patent/US/10602424/1","US10602424")</f>
        <v>0.0</v>
      </c>
      <c r="M491" t="s">
        <v>2762</v>
      </c>
      <c r="N491" t="s">
        <v>179</v>
      </c>
      <c r="O491" t="s">
        <v>180</v>
      </c>
      <c r="P491" t="s">
        <v>2605</v>
      </c>
      <c r="Q491" s="3" t="n">
        <v>42979.0</v>
      </c>
      <c r="R491" s="3" t="n">
        <v>43914.0</v>
      </c>
      <c r="S491" s="3" t="n">
        <v>43915.04219438657</v>
      </c>
      <c r="T491" s="3" t="n">
        <v>43915.44395486111</v>
      </c>
      <c r="U491" t="s">
        <v>2763</v>
      </c>
      <c r="V491" t="s">
        <v>2764</v>
      </c>
    </row>
    <row r="492">
      <c r="A492" t="s">
        <v>1929</v>
      </c>
      <c r="B492" t="s">
        <v>2765</v>
      </c>
      <c r="C492" t="s">
        <v>168</v>
      </c>
      <c r="D492" t="s">
        <v>168</v>
      </c>
      <c r="E492" t="s">
        <v>2766</v>
      </c>
      <c r="F492" s="2" t="n">
        <f>HYPERLINK("https://patents.google.com/patent/US10601811","Google")</f>
        <v>0.0</v>
      </c>
      <c r="G492" s="2" t="n">
        <f>HYPERLINK("https://patentcenter.uspto.gov/applications/15159101","Patent Center")</f>
        <v>0.0</v>
      </c>
      <c r="H492" s="2" t="n">
        <f>HYPERLINK("https://worldwide.espacenet.com/patent/search?q=US10601811","Espacenet")</f>
        <v>0.0</v>
      </c>
      <c r="I492" s="2" t="n">
        <f>HYPERLINK("https://ppubs.uspto.gov/pubwebapp/external.html?q=10601811.pn.","USPTO")</f>
        <v>0.0</v>
      </c>
      <c r="J492" s="2" t="n">
        <f>HYPERLINK("https://image-ppubs.uspto.gov/dirsearch-public/print/downloadPdf/10601811","USPTO PDF")</f>
        <v>0.0</v>
      </c>
      <c r="K492" s="2" t="n">
        <f>HYPERLINK("https://sectors.patentforecast.com/pmd/US10601811","PMD")</f>
        <v>0.0</v>
      </c>
      <c r="L492" s="2" t="n">
        <f>HYPERLINK("https://globaldossier.uspto.gov/result/patent/US/10601811/1","US10601811")</f>
        <v>0.0</v>
      </c>
      <c r="M492" t="s">
        <v>2767</v>
      </c>
      <c r="N492" t="s">
        <v>507</v>
      </c>
      <c r="O492" t="s">
        <v>508</v>
      </c>
      <c r="P492" t="s">
        <v>2768</v>
      </c>
      <c r="Q492" s="3" t="n">
        <v>42509.0</v>
      </c>
      <c r="R492" s="3" t="n">
        <v>43914.0</v>
      </c>
      <c r="S492" s="3" t="n">
        <v>43915.04913898148</v>
      </c>
      <c r="T492" s="3" t="n">
        <v>43915.441623645835</v>
      </c>
      <c r="U492" t="s">
        <v>2769</v>
      </c>
      <c r="V492" t="s">
        <v>2770</v>
      </c>
    </row>
    <row r="493">
      <c r="A493" t="s">
        <v>1929</v>
      </c>
      <c r="B493" t="s">
        <v>2771</v>
      </c>
      <c r="C493" t="s">
        <v>24</v>
      </c>
      <c r="D493" t="s">
        <v>25</v>
      </c>
      <c r="E493" t="s">
        <v>2772</v>
      </c>
      <c r="F493" s="2" t="n">
        <f>HYPERLINK("https://patents.google.com/patent/US10601659","Google")</f>
        <v>0.0</v>
      </c>
      <c r="G493" s="2" t="n">
        <f>HYPERLINK("https://patentcenter.uspto.gov/applications/15007444","Patent Center")</f>
        <v>0.0</v>
      </c>
      <c r="H493" s="2" t="n">
        <f>HYPERLINK("https://worldwide.espacenet.com/patent/search?q=US10601659","Espacenet")</f>
        <v>0.0</v>
      </c>
      <c r="I493" s="2" t="n">
        <f>HYPERLINK("https://ppubs.uspto.gov/pubwebapp/external.html?q=10601659.pn.","USPTO")</f>
        <v>0.0</v>
      </c>
      <c r="J493" s="2" t="n">
        <f>HYPERLINK("https://image-ppubs.uspto.gov/dirsearch-public/print/downloadPdf/10601659","USPTO PDF")</f>
        <v>0.0</v>
      </c>
      <c r="K493" s="2" t="n">
        <f>HYPERLINK("https://sectors.patentforecast.com/pmd/US10601659","PMD")</f>
        <v>0.0</v>
      </c>
      <c r="L493" s="2" t="n">
        <f>HYPERLINK("https://globaldossier.uspto.gov/result/patent/US/10601659/1","US10601659")</f>
        <v>0.0</v>
      </c>
      <c r="M493" t="s">
        <v>2773</v>
      </c>
      <c r="N493" t="s">
        <v>88</v>
      </c>
      <c r="O493" t="s">
        <v>89</v>
      </c>
      <c r="P493" t="s">
        <v>2774</v>
      </c>
      <c r="Q493" s="3" t="n">
        <v>42396.0</v>
      </c>
      <c r="R493" s="3" t="n">
        <v>43914.0</v>
      </c>
      <c r="S493" s="3" t="n">
        <v>43915.04913898148</v>
      </c>
      <c r="T493" s="3" t="n">
        <v>43915.44182723379</v>
      </c>
      <c r="U493" t="s">
        <v>2775</v>
      </c>
      <c r="V493" t="s">
        <v>2776</v>
      </c>
    </row>
    <row r="494">
      <c r="A494" t="s">
        <v>1929</v>
      </c>
      <c r="B494" t="s">
        <v>2777</v>
      </c>
      <c r="C494" t="s">
        <v>24</v>
      </c>
      <c r="D494" t="s">
        <v>25</v>
      </c>
      <c r="E494" t="s">
        <v>2778</v>
      </c>
      <c r="F494" s="2" t="n">
        <f>HYPERLINK("https://patents.google.com/patent/US10601494","Google")</f>
        <v>0.0</v>
      </c>
      <c r="G494" s="2" t="n">
        <f>HYPERLINK("https://patentcenter.uspto.gov/applications/15372454","Patent Center")</f>
        <v>0.0</v>
      </c>
      <c r="H494" s="2" t="n">
        <f>HYPERLINK("https://worldwide.espacenet.com/patent/search?q=US10601494","Espacenet")</f>
        <v>0.0</v>
      </c>
      <c r="I494" s="2" t="n">
        <f>HYPERLINK("https://ppubs.uspto.gov/pubwebapp/external.html?q=10601494.pn.","USPTO")</f>
        <v>0.0</v>
      </c>
      <c r="J494" s="2" t="n">
        <f>HYPERLINK("https://image-ppubs.uspto.gov/dirsearch-public/print/downloadPdf/10601494","USPTO PDF")</f>
        <v>0.0</v>
      </c>
      <c r="K494" s="2" t="n">
        <f>HYPERLINK("https://sectors.patentforecast.com/pmd/US10601494","PMD")</f>
        <v>0.0</v>
      </c>
      <c r="L494" s="2" t="n">
        <f>HYPERLINK("https://globaldossier.uspto.gov/result/patent/US/10601494/1","US10601494")</f>
        <v>0.0</v>
      </c>
      <c r="M494" t="s">
        <v>1052</v>
      </c>
      <c r="N494" t="s">
        <v>390</v>
      </c>
      <c r="O494" t="s">
        <v>391</v>
      </c>
      <c r="P494" t="s">
        <v>2779</v>
      </c>
      <c r="Q494" s="3" t="n">
        <v>42712.0</v>
      </c>
      <c r="R494" s="3" t="n">
        <v>43914.0</v>
      </c>
      <c r="S494" s="3" t="n">
        <v>43915.061754675924</v>
      </c>
      <c r="T494" s="3" t="n">
        <v>43915.44030042824</v>
      </c>
      <c r="U494" t="s">
        <v>2780</v>
      </c>
      <c r="V494" t="s">
        <v>2781</v>
      </c>
    </row>
    <row r="495">
      <c r="A495" t="s">
        <v>1929</v>
      </c>
      <c r="B495" t="s">
        <v>2782</v>
      </c>
      <c r="C495" t="s">
        <v>168</v>
      </c>
      <c r="D495" t="s">
        <v>168</v>
      </c>
      <c r="E495" t="s">
        <v>2783</v>
      </c>
      <c r="F495" s="2" t="n">
        <f>HYPERLINK("https://patents.google.com/patent/US10596461","Google")</f>
        <v>0.0</v>
      </c>
      <c r="G495" s="2" t="n">
        <f>HYPERLINK("https://patentcenter.uspto.gov/applications/15661276","Patent Center")</f>
        <v>0.0</v>
      </c>
      <c r="H495" s="2" t="n">
        <f>HYPERLINK("https://worldwide.espacenet.com/patent/search?q=US10596461","Espacenet")</f>
        <v>0.0</v>
      </c>
      <c r="I495" s="2" t="n">
        <f>HYPERLINK("https://ppubs.uspto.gov/pubwebapp/external.html?q=10596461.pn.","USPTO")</f>
        <v>0.0</v>
      </c>
      <c r="J495" s="2" t="n">
        <f>HYPERLINK("https://image-ppubs.uspto.gov/dirsearch-public/print/downloadPdf/10596461","USPTO PDF")</f>
        <v>0.0</v>
      </c>
      <c r="K495" s="2" t="n">
        <f>HYPERLINK("https://sectors.patentforecast.com/pmd/US10596461","PMD")</f>
        <v>0.0</v>
      </c>
      <c r="L495" s="2" t="n">
        <f>HYPERLINK("https://globaldossier.uspto.gov/result/patent/US/10596461/1","US10596461")</f>
        <v>0.0</v>
      </c>
      <c r="M495" t="s">
        <v>2784</v>
      </c>
      <c r="N495" t="s">
        <v>2785</v>
      </c>
      <c r="O495" t="s">
        <v>2786</v>
      </c>
      <c r="P495" t="s">
        <v>2787</v>
      </c>
      <c r="Q495" s="3" t="n">
        <v>42943.0</v>
      </c>
      <c r="R495" s="3" t="n">
        <v>43914.0</v>
      </c>
      <c r="S495" s="3" t="n">
        <v>43915.059328194446</v>
      </c>
      <c r="T495" s="3" t="n">
        <v>43915.44252614583</v>
      </c>
      <c r="U495" t="s">
        <v>2788</v>
      </c>
      <c r="V495" t="s">
        <v>2789</v>
      </c>
    </row>
    <row r="496">
      <c r="A496" t="s">
        <v>1929</v>
      </c>
      <c r="B496" t="s">
        <v>2790</v>
      </c>
      <c r="C496" t="s">
        <v>24</v>
      </c>
      <c r="D496" t="s">
        <v>25</v>
      </c>
      <c r="E496" t="s">
        <v>2714</v>
      </c>
      <c r="F496" s="2" t="n">
        <f>HYPERLINK("https://patents.google.com/patent/US10587033","Google")</f>
        <v>0.0</v>
      </c>
      <c r="G496" s="2" t="n">
        <f>HYPERLINK("https://patentcenter.uspto.gov/applications/16447228","Patent Center")</f>
        <v>0.0</v>
      </c>
      <c r="H496" s="2" t="n">
        <f>HYPERLINK("https://worldwide.espacenet.com/patent/search?q=US10587033","Espacenet")</f>
        <v>0.0</v>
      </c>
      <c r="I496" s="2" t="n">
        <f>HYPERLINK("https://ppubs.uspto.gov/pubwebapp/external.html?q=10587033.pn.","USPTO")</f>
        <v>0.0</v>
      </c>
      <c r="J496" s="2" t="n">
        <f>HYPERLINK("https://image-ppubs.uspto.gov/dirsearch-public/print/downloadPdf/10587033","USPTO PDF")</f>
        <v>0.0</v>
      </c>
      <c r="K496" s="2" t="n">
        <f>HYPERLINK("https://sectors.patentforecast.com/pmd/US10587033","PMD")</f>
        <v>0.0</v>
      </c>
      <c r="L496" s="2" t="n">
        <f>HYPERLINK("https://globaldossier.uspto.gov/result/patent/US/10587033/1","US10587033")</f>
        <v>0.0</v>
      </c>
      <c r="M496" t="s">
        <v>758</v>
      </c>
      <c r="N496" t="s">
        <v>314</v>
      </c>
      <c r="O496" t="s">
        <v>315</v>
      </c>
      <c r="P496" t="s">
        <v>2012</v>
      </c>
      <c r="Q496" s="3" t="n">
        <v>43636.0</v>
      </c>
      <c r="R496" s="3" t="n">
        <v>43900.0</v>
      </c>
      <c r="S496" s="3" t="n">
        <v>43901.04232075231</v>
      </c>
      <c r="T496" s="3" t="n">
        <v>43901.389015127315</v>
      </c>
      <c r="U496" t="s">
        <v>2791</v>
      </c>
      <c r="V496" t="s">
        <v>328</v>
      </c>
    </row>
    <row r="497">
      <c r="A497" t="s">
        <v>1929</v>
      </c>
      <c r="B497" t="s">
        <v>2792</v>
      </c>
      <c r="C497" t="s">
        <v>24</v>
      </c>
      <c r="D497" t="s">
        <v>25</v>
      </c>
      <c r="E497" t="s">
        <v>2793</v>
      </c>
      <c r="F497" s="2" t="n">
        <f>HYPERLINK("https://patents.google.com/patent/US10581140","Google")</f>
        <v>0.0</v>
      </c>
      <c r="G497" s="2" t="n">
        <f>HYPERLINK("https://patentcenter.uspto.gov/applications/15392217","Patent Center")</f>
        <v>0.0</v>
      </c>
      <c r="H497" s="2" t="n">
        <f>HYPERLINK("https://worldwide.espacenet.com/patent/search?q=US10581140","Espacenet")</f>
        <v>0.0</v>
      </c>
      <c r="I497" s="2" t="n">
        <f>HYPERLINK("https://ppubs.uspto.gov/pubwebapp/external.html?q=10581140.pn.","USPTO")</f>
        <v>0.0</v>
      </c>
      <c r="J497" s="2" t="n">
        <f>HYPERLINK("https://image-ppubs.uspto.gov/dirsearch-public/print/downloadPdf/10581140","USPTO PDF")</f>
        <v>0.0</v>
      </c>
      <c r="K497" s="2" t="n">
        <f>HYPERLINK("https://sectors.patentforecast.com/pmd/US10581140","PMD")</f>
        <v>0.0</v>
      </c>
      <c r="L497" s="2" t="n">
        <f>HYPERLINK("https://globaldossier.uspto.gov/result/patent/US/10581140/1","US10581140")</f>
        <v>0.0</v>
      </c>
      <c r="M497" t="s">
        <v>2794</v>
      </c>
      <c r="N497" t="s">
        <v>72</v>
      </c>
      <c r="O497" t="s">
        <v>73</v>
      </c>
      <c r="P497" t="s">
        <v>2795</v>
      </c>
      <c r="Q497" s="3" t="n">
        <v>42732.0</v>
      </c>
      <c r="R497" s="3" t="n">
        <v>43893.0</v>
      </c>
      <c r="S497" s="3" t="n">
        <v>43894.00552267361</v>
      </c>
      <c r="T497" s="3" t="n">
        <v>43894.45199945602</v>
      </c>
      <c r="U497" t="s">
        <v>2796</v>
      </c>
      <c r="V497" t="s">
        <v>2797</v>
      </c>
    </row>
    <row r="498">
      <c r="A498" t="s">
        <v>1929</v>
      </c>
      <c r="B498" t="s">
        <v>2798</v>
      </c>
      <c r="C498" t="s">
        <v>24</v>
      </c>
      <c r="D498" t="s">
        <v>25</v>
      </c>
      <c r="E498" t="s">
        <v>2799</v>
      </c>
      <c r="F498" s="2" t="n">
        <f>HYPERLINK("https://patents.google.com/patent/US10578879","Google")</f>
        <v>0.0</v>
      </c>
      <c r="G498" s="2" t="n">
        <f>HYPERLINK("https://patentcenter.uspto.gov/applications/16422548","Patent Center")</f>
        <v>0.0</v>
      </c>
      <c r="H498" s="2" t="n">
        <f>HYPERLINK("https://worldwide.espacenet.com/patent/search?q=US10578879","Espacenet")</f>
        <v>0.0</v>
      </c>
      <c r="I498" s="2" t="n">
        <f>HYPERLINK("https://ppubs.uspto.gov/pubwebapp/external.html?q=10578879.pn.","USPTO")</f>
        <v>0.0</v>
      </c>
      <c r="J498" s="2" t="n">
        <f>HYPERLINK("https://image-ppubs.uspto.gov/dirsearch-public/print/downloadPdf/10578879","USPTO PDF")</f>
        <v>0.0</v>
      </c>
      <c r="K498" s="2" t="n">
        <f>HYPERLINK("https://sectors.patentforecast.com/pmd/US10578879","PMD")</f>
        <v>0.0</v>
      </c>
      <c r="L498" s="2" t="n">
        <f>HYPERLINK("https://globaldossier.uspto.gov/result/patent/US/10578879/1","US10578879")</f>
        <v>0.0</v>
      </c>
      <c r="M498" t="s">
        <v>2800</v>
      </c>
      <c r="N498" t="s">
        <v>2801</v>
      </c>
      <c r="O498" t="s">
        <v>2802</v>
      </c>
      <c r="P498" t="s">
        <v>2803</v>
      </c>
      <c r="Q498" s="3" t="n">
        <v>43609.0</v>
      </c>
      <c r="R498" s="3" t="n">
        <v>43893.0</v>
      </c>
      <c r="S498" s="3" t="n">
        <v>43894.021031655095</v>
      </c>
      <c r="T498" s="3" t="n">
        <v>43894.45428118056</v>
      </c>
      <c r="U498" t="s">
        <v>2804</v>
      </c>
      <c r="V498" t="s">
        <v>2805</v>
      </c>
    </row>
    <row r="499">
      <c r="A499" t="s">
        <v>1929</v>
      </c>
      <c r="B499" t="s">
        <v>2806</v>
      </c>
      <c r="C499" t="s">
        <v>168</v>
      </c>
      <c r="D499" t="s">
        <v>168</v>
      </c>
      <c r="E499" t="s">
        <v>2807</v>
      </c>
      <c r="F499" s="2" t="n">
        <f>HYPERLINK("https://patents.google.com/patent/US10574061","Google")</f>
        <v>0.0</v>
      </c>
      <c r="G499" s="2" t="n">
        <f>HYPERLINK("https://patentcenter.uspto.gov/applications/16552416","Patent Center")</f>
        <v>0.0</v>
      </c>
      <c r="H499" s="2" t="n">
        <f>HYPERLINK("https://worldwide.espacenet.com/patent/search?q=US10574061","Espacenet")</f>
        <v>0.0</v>
      </c>
      <c r="I499" s="2" t="n">
        <f>HYPERLINK("https://ppubs.uspto.gov/pubwebapp/external.html?q=10574061.pn.","USPTO")</f>
        <v>0.0</v>
      </c>
      <c r="J499" s="2" t="n">
        <f>HYPERLINK("https://image-ppubs.uspto.gov/dirsearch-public/print/downloadPdf/10574061","USPTO PDF")</f>
        <v>0.0</v>
      </c>
      <c r="K499" s="2" t="n">
        <f>HYPERLINK("https://sectors.patentforecast.com/pmd/US10574061","PMD")</f>
        <v>0.0</v>
      </c>
      <c r="L499" s="2" t="n">
        <f>HYPERLINK("https://globaldossier.uspto.gov/result/patent/US/10574061/1","US10574061")</f>
        <v>0.0</v>
      </c>
      <c r="M499" t="s">
        <v>2808</v>
      </c>
      <c r="N499" t="s">
        <v>852</v>
      </c>
      <c r="O499" t="s">
        <v>853</v>
      </c>
      <c r="P499" t="s">
        <v>2809</v>
      </c>
      <c r="Q499" s="3" t="n">
        <v>43704.0</v>
      </c>
      <c r="R499" s="3" t="n">
        <v>43886.0</v>
      </c>
      <c r="S499" s="3" t="n">
        <v>43894.00332271991</v>
      </c>
      <c r="T499" s="3" t="n">
        <v>43894.45628273148</v>
      </c>
      <c r="U499" t="s">
        <v>2810</v>
      </c>
      <c r="V499" t="s">
        <v>1153</v>
      </c>
    </row>
    <row r="500">
      <c r="A500" t="s">
        <v>1929</v>
      </c>
      <c r="B500" t="s">
        <v>2811</v>
      </c>
      <c r="C500" t="s">
        <v>61</v>
      </c>
      <c r="D500" t="s">
        <v>61</v>
      </c>
      <c r="E500" t="s">
        <v>2812</v>
      </c>
      <c r="F500" s="2" t="n">
        <f>HYPERLINK("https://patents.google.com/patent/US10567571","Google")</f>
        <v>0.0</v>
      </c>
      <c r="G500" s="2" t="n">
        <f>HYPERLINK("https://patentcenter.uspto.gov/applications/16035555","Patent Center")</f>
        <v>0.0</v>
      </c>
      <c r="H500" s="2" t="n">
        <f>HYPERLINK("https://worldwide.espacenet.com/patent/search?q=US10567571","Espacenet")</f>
        <v>0.0</v>
      </c>
      <c r="I500" s="2" t="n">
        <f>HYPERLINK("https://ppubs.uspto.gov/pubwebapp/external.html?q=10567571.pn.","USPTO")</f>
        <v>0.0</v>
      </c>
      <c r="J500" s="2" t="n">
        <f>HYPERLINK("https://image-ppubs.uspto.gov/dirsearch-public/print/downloadPdf/10567571","USPTO PDF")</f>
        <v>0.0</v>
      </c>
      <c r="K500" s="2" t="n">
        <f>HYPERLINK("https://sectors.patentforecast.com/pmd/US10567571","PMD")</f>
        <v>0.0</v>
      </c>
      <c r="L500" s="2" t="n">
        <f>HYPERLINK("https://globaldossier.uspto.gov/result/patent/US/10567571/1","US10567571")</f>
        <v>0.0</v>
      </c>
      <c r="M500" t="s">
        <v>2813</v>
      </c>
      <c r="N500" t="s">
        <v>2814</v>
      </c>
      <c r="O500" t="s">
        <v>2815</v>
      </c>
      <c r="P500" t="s">
        <v>2816</v>
      </c>
      <c r="Q500" s="3" t="n">
        <v>43294.0</v>
      </c>
      <c r="R500" s="3" t="n">
        <v>43879.0</v>
      </c>
      <c r="S500" s="3" t="n">
        <v>43880.0368693287</v>
      </c>
      <c r="T500" s="3" t="n">
        <v>43880.45622907407</v>
      </c>
      <c r="U500" t="s">
        <v>2817</v>
      </c>
      <c r="V500" t="s">
        <v>2818</v>
      </c>
    </row>
    <row r="501">
      <c r="A501" t="s">
        <v>1929</v>
      </c>
      <c r="B501" t="s">
        <v>2819</v>
      </c>
      <c r="C501" t="s">
        <v>168</v>
      </c>
      <c r="D501" t="s">
        <v>168</v>
      </c>
      <c r="E501" t="s">
        <v>2820</v>
      </c>
      <c r="F501" s="2" t="n">
        <f>HYPERLINK("https://patents.google.com/patent/US10561225","Google")</f>
        <v>0.0</v>
      </c>
      <c r="G501" s="2" t="n">
        <f>HYPERLINK("https://patentcenter.uspto.gov/applications/16204046","Patent Center")</f>
        <v>0.0</v>
      </c>
      <c r="H501" s="2" t="n">
        <f>HYPERLINK("https://worldwide.espacenet.com/patent/search?q=US10561225","Espacenet")</f>
        <v>0.0</v>
      </c>
      <c r="I501" s="2" t="n">
        <f>HYPERLINK("https://ppubs.uspto.gov/pubwebapp/external.html?q=10561225.pn.","USPTO")</f>
        <v>0.0</v>
      </c>
      <c r="J501" s="2" t="n">
        <f>HYPERLINK("https://image-ppubs.uspto.gov/dirsearch-public/print/downloadPdf/10561225","USPTO PDF")</f>
        <v>0.0</v>
      </c>
      <c r="K501" s="2" t="n">
        <f>HYPERLINK("https://sectors.patentforecast.com/pmd/US10561225","PMD")</f>
        <v>0.0</v>
      </c>
      <c r="L501" s="2" t="n">
        <f>HYPERLINK("https://globaldossier.uspto.gov/result/patent/US/10561225/1","US10561225")</f>
        <v>0.0</v>
      </c>
      <c r="M501" t="s">
        <v>2821</v>
      </c>
      <c r="N501" t="s">
        <v>227</v>
      </c>
      <c r="O501" t="s">
        <v>228</v>
      </c>
      <c r="P501" t="s">
        <v>2822</v>
      </c>
      <c r="Q501" s="3" t="n">
        <v>43433.0</v>
      </c>
      <c r="R501" s="3" t="n">
        <v>43879.0</v>
      </c>
      <c r="S501" s="3" t="n">
        <v>43887.0032240625</v>
      </c>
      <c r="T501" s="3" t="n">
        <v>43887.45318778935</v>
      </c>
      <c r="U501" t="s">
        <v>2823</v>
      </c>
      <c r="V501" t="s">
        <v>2824</v>
      </c>
    </row>
    <row r="502">
      <c r="A502" t="s">
        <v>1929</v>
      </c>
      <c r="B502" t="s">
        <v>2825</v>
      </c>
      <c r="C502" t="s">
        <v>168</v>
      </c>
      <c r="D502" t="s">
        <v>168</v>
      </c>
      <c r="E502" t="s">
        <v>2766</v>
      </c>
      <c r="F502" s="2" t="n">
        <f>HYPERLINK("https://patents.google.com/patent/US10560449","Google")</f>
        <v>0.0</v>
      </c>
      <c r="G502" s="2" t="n">
        <f>HYPERLINK("https://patentcenter.uspto.gov/applications/15159101","Patent Center")</f>
        <v>0.0</v>
      </c>
      <c r="H502" s="2" t="n">
        <f>HYPERLINK("https://worldwide.espacenet.com/patent/search?q=US10560449","Espacenet")</f>
        <v>0.0</v>
      </c>
      <c r="I502" s="2" t="n">
        <f>HYPERLINK("https://ppubs.uspto.gov/pubwebapp/external.html?q=10560449.pn.","USPTO")</f>
        <v>0.0</v>
      </c>
      <c r="J502" s="2" t="n">
        <f>HYPERLINK("https://image-ppubs.uspto.gov/dirsearch-public/print/downloadPdf/10560449","USPTO PDF")</f>
        <v>0.0</v>
      </c>
      <c r="K502" s="2" t="n">
        <f>HYPERLINK("https://sectors.patentforecast.com/pmd/US10560449","PMD")</f>
        <v>0.0</v>
      </c>
      <c r="L502" s="2" t="n">
        <f>HYPERLINK("https://globaldossier.uspto.gov/result/patent/US/10560449/1","US10560449")</f>
        <v>0.0</v>
      </c>
      <c r="M502" t="s">
        <v>2767</v>
      </c>
      <c r="N502" t="s">
        <v>507</v>
      </c>
      <c r="O502" t="s">
        <v>508</v>
      </c>
      <c r="P502" t="s">
        <v>2768</v>
      </c>
      <c r="Q502" s="3" t="n">
        <v>42509.0</v>
      </c>
      <c r="R502" s="3" t="n">
        <v>43872.0</v>
      </c>
      <c r="S502" s="3" t="n">
        <v>43873.00725087963</v>
      </c>
      <c r="T502" s="3" t="n">
        <v>43874.410055775465</v>
      </c>
      <c r="U502" t="s">
        <v>2826</v>
      </c>
      <c r="V502" t="s">
        <v>2770</v>
      </c>
    </row>
    <row r="503">
      <c r="A503" t="s">
        <v>1929</v>
      </c>
      <c r="B503" t="s">
        <v>2827</v>
      </c>
      <c r="C503" t="s">
        <v>24</v>
      </c>
      <c r="D503" t="s">
        <v>25</v>
      </c>
      <c r="E503" t="s">
        <v>2828</v>
      </c>
      <c r="F503" s="2" t="n">
        <f>HYPERLINK("https://patents.google.com/patent/US10554243","Google")</f>
        <v>0.0</v>
      </c>
      <c r="G503" s="2" t="n">
        <f>HYPERLINK("https://patentcenter.uspto.gov/applications/16183714","Patent Center")</f>
        <v>0.0</v>
      </c>
      <c r="H503" s="2" t="n">
        <f>HYPERLINK("https://worldwide.espacenet.com/patent/search?q=US10554243","Espacenet")</f>
        <v>0.0</v>
      </c>
      <c r="I503" s="2" t="n">
        <f>HYPERLINK("https://ppubs.uspto.gov/pubwebapp/external.html?q=10554243.pn.","USPTO")</f>
        <v>0.0</v>
      </c>
      <c r="J503" s="2" t="n">
        <f>HYPERLINK("https://image-ppubs.uspto.gov/dirsearch-public/print/downloadPdf/10554243","USPTO PDF")</f>
        <v>0.0</v>
      </c>
      <c r="K503" s="2" t="n">
        <f>HYPERLINK("https://sectors.patentforecast.com/pmd/US10554243","PMD")</f>
        <v>0.0</v>
      </c>
      <c r="L503" s="2" t="n">
        <f>HYPERLINK("https://globaldossier.uspto.gov/result/patent/US/10554243/1","US10554243")</f>
        <v>0.0</v>
      </c>
      <c r="M503" t="s">
        <v>2829</v>
      </c>
      <c r="N503" t="s">
        <v>2830</v>
      </c>
      <c r="O503" t="s">
        <v>2831</v>
      </c>
      <c r="P503" t="s">
        <v>2832</v>
      </c>
      <c r="Q503" s="3" t="n">
        <v>43411.0</v>
      </c>
      <c r="R503" s="3" t="n">
        <v>43865.0</v>
      </c>
      <c r="S503" s="3" t="n">
        <v>43866.00331446759</v>
      </c>
      <c r="T503" s="3" t="n">
        <v>43866.510069282405</v>
      </c>
      <c r="U503" t="s">
        <v>2833</v>
      </c>
      <c r="V503" t="s">
        <v>2834</v>
      </c>
    </row>
    <row r="504">
      <c r="A504" t="s">
        <v>1929</v>
      </c>
      <c r="B504" t="s">
        <v>2835</v>
      </c>
      <c r="C504" t="s">
        <v>24</v>
      </c>
      <c r="D504" t="s">
        <v>25</v>
      </c>
      <c r="E504" t="s">
        <v>2836</v>
      </c>
      <c r="F504" s="2" t="n">
        <f>HYPERLINK("https://patents.google.com/patent/US10548033","Google")</f>
        <v>0.0</v>
      </c>
      <c r="G504" s="2" t="n">
        <f>HYPERLINK("https://patentcenter.uspto.gov/applications/15236326","Patent Center")</f>
        <v>0.0</v>
      </c>
      <c r="H504" s="2" t="n">
        <f>HYPERLINK("https://worldwide.espacenet.com/patent/search?q=US10548033","Espacenet")</f>
        <v>0.0</v>
      </c>
      <c r="I504" s="2" t="n">
        <f>HYPERLINK("https://ppubs.uspto.gov/pubwebapp/external.html?q=10548033.pn.","USPTO")</f>
        <v>0.0</v>
      </c>
      <c r="J504" s="2" t="n">
        <f>HYPERLINK("https://image-ppubs.uspto.gov/dirsearch-public/print/downloadPdf/10548033","USPTO PDF")</f>
        <v>0.0</v>
      </c>
      <c r="K504" s="2" t="n">
        <f>HYPERLINK("https://sectors.patentforecast.com/pmd/US10548033","PMD")</f>
        <v>0.0</v>
      </c>
      <c r="L504" s="2" t="n">
        <f>HYPERLINK("https://globaldossier.uspto.gov/result/patent/US/10548033/1","US10548033")</f>
        <v>0.0</v>
      </c>
      <c r="M504" t="s">
        <v>2837</v>
      </c>
      <c r="N504" t="s">
        <v>2838</v>
      </c>
      <c r="O504" t="s">
        <v>2839</v>
      </c>
      <c r="P504" t="s">
        <v>2840</v>
      </c>
      <c r="Q504" s="3" t="n">
        <v>42594.0</v>
      </c>
      <c r="R504" s="3" t="n">
        <v>43858.0</v>
      </c>
      <c r="S504" s="3" t="n">
        <v>43859.037586018516</v>
      </c>
      <c r="T504" s="3" t="n">
        <v>43859.53878123843</v>
      </c>
      <c r="U504" t="s">
        <v>2841</v>
      </c>
      <c r="V504" t="s">
        <v>2842</v>
      </c>
    </row>
    <row r="505">
      <c r="A505" t="s">
        <v>1929</v>
      </c>
      <c r="B505" t="s">
        <v>2843</v>
      </c>
      <c r="C505" t="s">
        <v>61</v>
      </c>
      <c r="D505" t="s">
        <v>61</v>
      </c>
      <c r="E505" t="s">
        <v>2844</v>
      </c>
      <c r="F505" s="2" t="n">
        <f>HYPERLINK("https://patents.google.com/patent/US10536815","Google")</f>
        <v>0.0</v>
      </c>
      <c r="G505" s="2" t="n">
        <f>HYPERLINK("https://patentcenter.uspto.gov/applications/15618096","Patent Center")</f>
        <v>0.0</v>
      </c>
      <c r="H505" s="2" t="n">
        <f>HYPERLINK("https://worldwide.espacenet.com/patent/search?q=US10536815","Espacenet")</f>
        <v>0.0</v>
      </c>
      <c r="I505" s="2" t="n">
        <f>HYPERLINK("https://ppubs.uspto.gov/pubwebapp/external.html?q=10536815.pn.","USPTO")</f>
        <v>0.0</v>
      </c>
      <c r="J505" s="2" t="n">
        <f>HYPERLINK("https://image-ppubs.uspto.gov/dirsearch-public/print/downloadPdf/10536815","USPTO PDF")</f>
        <v>0.0</v>
      </c>
      <c r="K505" s="2" t="n">
        <f>HYPERLINK("https://sectors.patentforecast.com/pmd/US10536815","PMD")</f>
        <v>0.0</v>
      </c>
      <c r="L505" s="2" t="n">
        <f>HYPERLINK("https://globaldossier.uspto.gov/result/patent/US/10536815/1","US10536815")</f>
        <v>0.0</v>
      </c>
      <c r="M505" t="s">
        <v>952</v>
      </c>
      <c r="N505" t="s">
        <v>953</v>
      </c>
      <c r="O505" t="s">
        <v>954</v>
      </c>
      <c r="P505" t="s">
        <v>2845</v>
      </c>
      <c r="Q505" s="3" t="n">
        <v>42894.0</v>
      </c>
      <c r="R505" s="3" t="n">
        <v>43844.0</v>
      </c>
      <c r="S505" s="3" t="n">
        <v>43844.99780084491</v>
      </c>
      <c r="T505" s="3" t="n">
        <v>43847.49620696759</v>
      </c>
      <c r="U505" t="s">
        <v>2846</v>
      </c>
      <c r="V505" t="s">
        <v>2847</v>
      </c>
    </row>
    <row r="506">
      <c r="A506" t="s">
        <v>1929</v>
      </c>
      <c r="B506" t="s">
        <v>2848</v>
      </c>
      <c r="C506" t="s">
        <v>61</v>
      </c>
      <c r="D506" t="s">
        <v>61</v>
      </c>
      <c r="E506" t="s">
        <v>2849</v>
      </c>
      <c r="F506" s="2" t="n">
        <f>HYPERLINK("https://patents.google.com/patent/US10536814","Google")</f>
        <v>0.0</v>
      </c>
      <c r="G506" s="2" t="n">
        <f>HYPERLINK("https://patentcenter.uspto.gov/applications/16451722","Patent Center")</f>
        <v>0.0</v>
      </c>
      <c r="H506" s="2" t="n">
        <f>HYPERLINK("https://worldwide.espacenet.com/patent/search?q=US10536814","Espacenet")</f>
        <v>0.0</v>
      </c>
      <c r="I506" s="2" t="n">
        <f>HYPERLINK("https://ppubs.uspto.gov/pubwebapp/external.html?q=10536814.pn.","USPTO")</f>
        <v>0.0</v>
      </c>
      <c r="J506" s="2" t="n">
        <f>HYPERLINK("https://image-ppubs.uspto.gov/dirsearch-public/print/downloadPdf/10536814","USPTO PDF")</f>
        <v>0.0</v>
      </c>
      <c r="K506" s="2" t="n">
        <f>HYPERLINK("https://sectors.patentforecast.com/pmd/US10536814","PMD")</f>
        <v>0.0</v>
      </c>
      <c r="L506" s="2" t="n">
        <f>HYPERLINK("https://globaldossier.uspto.gov/result/patent/US/10536814/1","US10536814")</f>
        <v>0.0</v>
      </c>
      <c r="M506" t="s">
        <v>2850</v>
      </c>
      <c r="N506" t="s">
        <v>2851</v>
      </c>
      <c r="O506" t="s">
        <v>2852</v>
      </c>
      <c r="P506" t="s">
        <v>2853</v>
      </c>
      <c r="Q506" s="3" t="n">
        <v>43641.0</v>
      </c>
      <c r="R506" s="3" t="n">
        <v>43844.0</v>
      </c>
      <c r="S506" s="3" t="n">
        <v>43845.00347270833</v>
      </c>
      <c r="T506" s="3" t="n">
        <v>43847.49284479167</v>
      </c>
      <c r="U506" t="s">
        <v>2854</v>
      </c>
      <c r="V506" t="s">
        <v>2855</v>
      </c>
    </row>
    <row r="507">
      <c r="A507" t="s">
        <v>1929</v>
      </c>
      <c r="B507" t="s">
        <v>2856</v>
      </c>
      <c r="C507" t="s">
        <v>61</v>
      </c>
      <c r="D507" t="s">
        <v>61</v>
      </c>
      <c r="E507" t="s">
        <v>2857</v>
      </c>
      <c r="F507" s="2" t="n">
        <f>HYPERLINK("https://patents.google.com/patent/US10536497","Google")</f>
        <v>0.0</v>
      </c>
      <c r="G507" s="2" t="n">
        <f>HYPERLINK("https://patentcenter.uspto.gov/applications/16170618","Patent Center")</f>
        <v>0.0</v>
      </c>
      <c r="H507" s="2" t="n">
        <f>HYPERLINK("https://worldwide.espacenet.com/patent/search?q=US10536497","Espacenet")</f>
        <v>0.0</v>
      </c>
      <c r="I507" s="2" t="n">
        <f>HYPERLINK("https://ppubs.uspto.gov/pubwebapp/external.html?q=10536497.pn.","USPTO")</f>
        <v>0.0</v>
      </c>
      <c r="J507" s="2" t="n">
        <f>HYPERLINK("https://image-ppubs.uspto.gov/dirsearch-public/print/downloadPdf/10536497","USPTO PDF")</f>
        <v>0.0</v>
      </c>
      <c r="K507" s="2" t="n">
        <f>HYPERLINK("https://sectors.patentforecast.com/pmd/US10536497","PMD")</f>
        <v>0.0</v>
      </c>
      <c r="L507" s="2" t="n">
        <f>HYPERLINK("https://globaldossier.uspto.gov/result/patent/US/10536497/1","US10536497")</f>
        <v>0.0</v>
      </c>
      <c r="M507" t="s">
        <v>2858</v>
      </c>
      <c r="N507" t="s">
        <v>687</v>
      </c>
      <c r="O507" t="s">
        <v>688</v>
      </c>
      <c r="P507" t="s">
        <v>2859</v>
      </c>
      <c r="Q507" s="3" t="n">
        <v>43398.0</v>
      </c>
      <c r="R507" s="3" t="n">
        <v>43844.0</v>
      </c>
      <c r="S507" s="3" t="n">
        <v>43844.98622708333</v>
      </c>
      <c r="T507" s="3" t="n">
        <v>43847.49614743055</v>
      </c>
      <c r="U507" t="s">
        <v>2860</v>
      </c>
      <c r="V507" t="s">
        <v>2861</v>
      </c>
    </row>
    <row r="508">
      <c r="A508" t="s">
        <v>1929</v>
      </c>
      <c r="B508" t="s">
        <v>2862</v>
      </c>
      <c r="C508" t="s">
        <v>24</v>
      </c>
      <c r="D508" t="s">
        <v>25</v>
      </c>
      <c r="E508" t="s">
        <v>2863</v>
      </c>
      <c r="F508" s="2" t="n">
        <f>HYPERLINK("https://patents.google.com/patent/US10534894","Google")</f>
        <v>0.0</v>
      </c>
      <c r="G508" s="2" t="n">
        <f>HYPERLINK("https://patentcenter.uspto.gov/applications/15487955","Patent Center")</f>
        <v>0.0</v>
      </c>
      <c r="H508" s="2" t="n">
        <f>HYPERLINK("https://worldwide.espacenet.com/patent/search?q=US10534894","Espacenet")</f>
        <v>0.0</v>
      </c>
      <c r="I508" s="2" t="n">
        <f>HYPERLINK("https://ppubs.uspto.gov/pubwebapp/external.html?q=10534894.pn.","USPTO")</f>
        <v>0.0</v>
      </c>
      <c r="J508" s="2" t="n">
        <f>HYPERLINK("https://image-ppubs.uspto.gov/dirsearch-public/print/downloadPdf/10534894","USPTO PDF")</f>
        <v>0.0</v>
      </c>
      <c r="K508" s="2" t="n">
        <f>HYPERLINK("https://sectors.patentforecast.com/pmd/US10534894","PMD")</f>
        <v>0.0</v>
      </c>
      <c r="L508" s="2" t="n">
        <f>HYPERLINK("https://globaldossier.uspto.gov/result/patent/US/10534894/1","US10534894")</f>
        <v>0.0</v>
      </c>
      <c r="M508" t="s">
        <v>2864</v>
      </c>
      <c r="N508" t="s">
        <v>2865</v>
      </c>
      <c r="O508" t="s">
        <v>2866</v>
      </c>
      <c r="P508" t="s">
        <v>2867</v>
      </c>
      <c r="Q508" s="3" t="n">
        <v>42839.0</v>
      </c>
      <c r="R508" s="3" t="n">
        <v>43844.0</v>
      </c>
      <c r="S508" s="3" t="n">
        <v>43844.98738438657</v>
      </c>
      <c r="T508" s="3" t="n">
        <v>43847.49431613426</v>
      </c>
      <c r="U508" t="s">
        <v>2868</v>
      </c>
      <c r="V508" t="s">
        <v>2869</v>
      </c>
    </row>
    <row r="509">
      <c r="A509" t="s">
        <v>1929</v>
      </c>
      <c r="B509" t="s">
        <v>2870</v>
      </c>
      <c r="C509" t="s">
        <v>24</v>
      </c>
      <c r="D509" t="s">
        <v>25</v>
      </c>
      <c r="E509" t="s">
        <v>2871</v>
      </c>
      <c r="F509" s="2" t="n">
        <f>HYPERLINK("https://patents.google.com/patent/US10534203","Google")</f>
        <v>0.0</v>
      </c>
      <c r="G509" s="2" t="n">
        <f>HYPERLINK("https://patentcenter.uspto.gov/applications/15664485","Patent Center")</f>
        <v>0.0</v>
      </c>
      <c r="H509" s="2" t="n">
        <f>HYPERLINK("https://worldwide.espacenet.com/patent/search?q=US10534203","Espacenet")</f>
        <v>0.0</v>
      </c>
      <c r="I509" s="2" t="n">
        <f>HYPERLINK("https://ppubs.uspto.gov/pubwebapp/external.html?q=10534203.pn.","USPTO")</f>
        <v>0.0</v>
      </c>
      <c r="J509" s="2" t="n">
        <f>HYPERLINK("https://image-ppubs.uspto.gov/dirsearch-public/print/downloadPdf/10534203","USPTO PDF")</f>
        <v>0.0</v>
      </c>
      <c r="K509" s="2" t="n">
        <f>HYPERLINK("https://sectors.patentforecast.com/pmd/US10534203","PMD")</f>
        <v>0.0</v>
      </c>
      <c r="L509" s="2" t="n">
        <f>HYPERLINK("https://globaldossier.uspto.gov/result/patent/US/10534203/1","US10534203")</f>
        <v>0.0</v>
      </c>
      <c r="M509" t="s">
        <v>2872</v>
      </c>
      <c r="N509" t="s">
        <v>2873</v>
      </c>
      <c r="O509" t="s">
        <v>2874</v>
      </c>
      <c r="P509" t="s">
        <v>2875</v>
      </c>
      <c r="Q509" s="3" t="n">
        <v>42947.0</v>
      </c>
      <c r="R509" s="3" t="n">
        <v>43844.0</v>
      </c>
      <c r="S509" s="3" t="n">
        <v>43844.99247722222</v>
      </c>
      <c r="T509" s="3" t="n">
        <v>43847.49474365741</v>
      </c>
      <c r="U509" t="s">
        <v>2876</v>
      </c>
      <c r="V509" t="s">
        <v>2877</v>
      </c>
    </row>
    <row r="510">
      <c r="A510" t="s">
        <v>1929</v>
      </c>
      <c r="B510" t="s">
        <v>2878</v>
      </c>
      <c r="C510" t="s">
        <v>24</v>
      </c>
      <c r="D510" t="s">
        <v>25</v>
      </c>
      <c r="E510" t="s">
        <v>2500</v>
      </c>
      <c r="F510" s="2" t="n">
        <f>HYPERLINK("https://patents.google.com/patent/US10531590","Google")</f>
        <v>0.0</v>
      </c>
      <c r="G510" s="2" t="n">
        <f>HYPERLINK("https://patentcenter.uspto.gov/applications/15886351","Patent Center")</f>
        <v>0.0</v>
      </c>
      <c r="H510" s="2" t="n">
        <f>HYPERLINK("https://worldwide.espacenet.com/patent/search?q=US10531590","Espacenet")</f>
        <v>0.0</v>
      </c>
      <c r="I510" s="2" t="n">
        <f>HYPERLINK("https://ppubs.uspto.gov/pubwebapp/external.html?q=10531590.pn.","USPTO")</f>
        <v>0.0</v>
      </c>
      <c r="J510" s="2" t="n">
        <f>HYPERLINK("https://image-ppubs.uspto.gov/dirsearch-public/print/downloadPdf/10531590","USPTO PDF")</f>
        <v>0.0</v>
      </c>
      <c r="K510" s="2" t="n">
        <f>HYPERLINK("https://sectors.patentforecast.com/pmd/US10531590","PMD")</f>
        <v>0.0</v>
      </c>
      <c r="L510" s="2" t="n">
        <f>HYPERLINK("https://globaldossier.uspto.gov/result/patent/US/10531590/1","US10531590")</f>
        <v>0.0</v>
      </c>
      <c r="M510" t="s">
        <v>1039</v>
      </c>
      <c r="N510" t="s">
        <v>283</v>
      </c>
      <c r="O510" t="s">
        <v>284</v>
      </c>
      <c r="P510" t="s">
        <v>2501</v>
      </c>
      <c r="Q510" s="3" t="n">
        <v>43132.0</v>
      </c>
      <c r="R510" s="3" t="n">
        <v>43837.0</v>
      </c>
      <c r="S510" s="3" t="n">
        <v>43837.98200971065</v>
      </c>
      <c r="T510" s="3" t="n">
        <v>43840.578865104166</v>
      </c>
      <c r="U510" t="s">
        <v>2879</v>
      </c>
      <c r="V510" t="s">
        <v>441</v>
      </c>
    </row>
    <row r="511">
      <c r="A511" t="s">
        <v>1929</v>
      </c>
      <c r="B511" t="s">
        <v>2880</v>
      </c>
      <c r="C511" t="s">
        <v>24</v>
      </c>
      <c r="D511" t="s">
        <v>25</v>
      </c>
      <c r="E511" t="s">
        <v>2881</v>
      </c>
      <c r="F511" s="2" t="n">
        <f>HYPERLINK("https://patents.google.com/patent/US10524112","Google")</f>
        <v>0.0</v>
      </c>
      <c r="G511" s="2" t="n">
        <f>HYPERLINK("https://patentcenter.uspto.gov/applications/16182383","Patent Center")</f>
        <v>0.0</v>
      </c>
      <c r="H511" s="2" t="n">
        <f>HYPERLINK("https://worldwide.espacenet.com/patent/search?q=US10524112","Espacenet")</f>
        <v>0.0</v>
      </c>
      <c r="I511" s="2" t="n">
        <f>HYPERLINK("https://ppubs.uspto.gov/pubwebapp/external.html?q=10524112.pn.","USPTO")</f>
        <v>0.0</v>
      </c>
      <c r="J511" s="2" t="n">
        <f>HYPERLINK("https://image-ppubs.uspto.gov/dirsearch-public/print/downloadPdf/10524112","USPTO PDF")</f>
        <v>0.0</v>
      </c>
      <c r="K511" s="2" t="n">
        <f>HYPERLINK("https://sectors.patentforecast.com/pmd/US10524112","PMD")</f>
        <v>0.0</v>
      </c>
      <c r="L511" s="2" t="n">
        <f>HYPERLINK("https://globaldossier.uspto.gov/result/patent/US/10524112/1","US10524112")</f>
        <v>0.0</v>
      </c>
      <c r="M511" t="s">
        <v>2882</v>
      </c>
      <c r="N511" t="s">
        <v>2883</v>
      </c>
      <c r="O511" t="s">
        <v>2884</v>
      </c>
      <c r="P511" t="s">
        <v>2885</v>
      </c>
      <c r="Q511" s="3" t="n">
        <v>43410.0</v>
      </c>
      <c r="R511" s="3" t="n">
        <v>43830.0</v>
      </c>
      <c r="S511" s="3" t="n">
        <v>43831.01591929398</v>
      </c>
      <c r="T511" s="3" t="n">
        <v>43836.418718125</v>
      </c>
      <c r="U511" t="s">
        <v>2886</v>
      </c>
      <c r="V511" t="s">
        <v>2887</v>
      </c>
    </row>
    <row r="512">
      <c r="A512" t="s">
        <v>1929</v>
      </c>
      <c r="B512" t="s">
        <v>2888</v>
      </c>
      <c r="C512" t="s">
        <v>168</v>
      </c>
      <c r="D512" t="s">
        <v>168</v>
      </c>
      <c r="E512" t="s">
        <v>2766</v>
      </c>
      <c r="F512" s="2" t="n">
        <f>HYPERLINK("https://patents.google.com/patent/US10523661","Google")</f>
        <v>0.0</v>
      </c>
      <c r="G512" s="2" t="n">
        <f>HYPERLINK("https://patentcenter.uspto.gov/applications/15159101","Patent Center")</f>
        <v>0.0</v>
      </c>
      <c r="H512" s="2" t="n">
        <f>HYPERLINK("https://worldwide.espacenet.com/patent/search?q=US10523661","Espacenet")</f>
        <v>0.0</v>
      </c>
      <c r="I512" s="2" t="n">
        <f>HYPERLINK("https://ppubs.uspto.gov/pubwebapp/external.html?q=10523661.pn.","USPTO")</f>
        <v>0.0</v>
      </c>
      <c r="J512" s="2" t="n">
        <f>HYPERLINK("https://image-ppubs.uspto.gov/dirsearch-public/print/downloadPdf/10523661","USPTO PDF")</f>
        <v>0.0</v>
      </c>
      <c r="K512" s="2" t="n">
        <f>HYPERLINK("https://sectors.patentforecast.com/pmd/US10523661","PMD")</f>
        <v>0.0</v>
      </c>
      <c r="L512" s="2" t="n">
        <f>HYPERLINK("https://globaldossier.uspto.gov/result/patent/US/10523661/1","US10523661")</f>
        <v>0.0</v>
      </c>
      <c r="M512" t="s">
        <v>2767</v>
      </c>
      <c r="N512" t="s">
        <v>507</v>
      </c>
      <c r="O512" t="s">
        <v>508</v>
      </c>
      <c r="P512" t="s">
        <v>2768</v>
      </c>
      <c r="Q512" s="3" t="n">
        <v>42509.0</v>
      </c>
      <c r="R512" s="3" t="n">
        <v>43830.0</v>
      </c>
      <c r="S512" s="3" t="n">
        <v>43830.983511886574</v>
      </c>
      <c r="T512" s="3" t="n">
        <v>43836.41736799769</v>
      </c>
      <c r="U512" t="s">
        <v>2889</v>
      </c>
      <c r="V512" t="s">
        <v>2770</v>
      </c>
    </row>
    <row r="513">
      <c r="A513" t="s">
        <v>1929</v>
      </c>
      <c r="B513" t="s">
        <v>2890</v>
      </c>
      <c r="C513" t="s">
        <v>61</v>
      </c>
      <c r="D513" t="s">
        <v>61</v>
      </c>
      <c r="E513" t="s">
        <v>2891</v>
      </c>
      <c r="F513" s="2" t="n">
        <f>HYPERLINK("https://patents.google.com/patent/US10515537","Google")</f>
        <v>0.0</v>
      </c>
      <c r="G513" s="2" t="n">
        <f>HYPERLINK("https://patentcenter.uspto.gov/applications/16167685","Patent Center")</f>
        <v>0.0</v>
      </c>
      <c r="H513" s="2" t="n">
        <f>HYPERLINK("https://worldwide.espacenet.com/patent/search?q=US10515537","Espacenet")</f>
        <v>0.0</v>
      </c>
      <c r="I513" s="2" t="n">
        <f>HYPERLINK("https://ppubs.uspto.gov/pubwebapp/external.html?q=10515537.pn.","USPTO")</f>
        <v>0.0</v>
      </c>
      <c r="J513" s="2" t="n">
        <f>HYPERLINK("https://image-ppubs.uspto.gov/dirsearch-public/print/downloadPdf/10515537","USPTO PDF")</f>
        <v>0.0</v>
      </c>
      <c r="K513" s="2" t="n">
        <f>HYPERLINK("https://sectors.patentforecast.com/pmd/US10515537","PMD")</f>
        <v>0.0</v>
      </c>
      <c r="L513" s="2" t="n">
        <f>HYPERLINK("https://globaldossier.uspto.gov/result/patent/US/10515537/1","US10515537")</f>
        <v>0.0</v>
      </c>
      <c r="M513" t="s">
        <v>2892</v>
      </c>
      <c r="N513" t="s">
        <v>491</v>
      </c>
      <c r="O513" t="s">
        <v>492</v>
      </c>
      <c r="P513" t="s">
        <v>2893</v>
      </c>
      <c r="Q513" s="3" t="n">
        <v>43396.0</v>
      </c>
      <c r="R513" s="3" t="n">
        <v>43823.0</v>
      </c>
      <c r="S513" s="3" t="n">
        <v>43823.985717986114</v>
      </c>
      <c r="T513" s="3" t="n">
        <v>43825.49772280092</v>
      </c>
      <c r="U513" t="s">
        <v>2894</v>
      </c>
      <c r="V513" t="s">
        <v>2895</v>
      </c>
    </row>
    <row r="514">
      <c r="A514" t="s">
        <v>1929</v>
      </c>
      <c r="B514" t="s">
        <v>2896</v>
      </c>
      <c r="C514" t="s">
        <v>52</v>
      </c>
      <c r="D514" t="s">
        <v>52</v>
      </c>
      <c r="E514" t="s">
        <v>2897</v>
      </c>
      <c r="F514" s="2" t="n">
        <f>HYPERLINK("https://patents.google.com/patent/US10514237","Google")</f>
        <v>0.0</v>
      </c>
      <c r="G514" s="2" t="n">
        <f>HYPERLINK("https://patentcenter.uspto.gov/applications/16149057","Patent Center")</f>
        <v>0.0</v>
      </c>
      <c r="H514" s="2" t="n">
        <f>HYPERLINK("https://worldwide.espacenet.com/patent/search?q=US10514237","Espacenet")</f>
        <v>0.0</v>
      </c>
      <c r="I514" s="2" t="n">
        <f>HYPERLINK("https://ppubs.uspto.gov/pubwebapp/external.html?q=10514237.pn.","USPTO")</f>
        <v>0.0</v>
      </c>
      <c r="J514" s="2" t="n">
        <f>HYPERLINK("https://image-ppubs.uspto.gov/dirsearch-public/print/downloadPdf/10514237","USPTO PDF")</f>
        <v>0.0</v>
      </c>
      <c r="K514" s="2" t="n">
        <f>HYPERLINK("https://sectors.patentforecast.com/pmd/US10514237","PMD")</f>
        <v>0.0</v>
      </c>
      <c r="L514" s="2" t="n">
        <f>HYPERLINK("https://globaldossier.uspto.gov/result/patent/US/10514237/1","US10514237")</f>
        <v>0.0</v>
      </c>
      <c r="M514" t="s">
        <v>2898</v>
      </c>
      <c r="N514" t="s">
        <v>2899</v>
      </c>
      <c r="O514" t="s">
        <v>2900</v>
      </c>
      <c r="P514" t="s">
        <v>2901</v>
      </c>
      <c r="Q514" s="3" t="n">
        <v>43374.0</v>
      </c>
      <c r="R514" s="3" t="n">
        <v>43823.0</v>
      </c>
      <c r="S514" s="3" t="n">
        <v>43823.992199548615</v>
      </c>
      <c r="T514" s="3" t="n">
        <v>43825.496161724535</v>
      </c>
      <c r="U514" t="s">
        <v>2902</v>
      </c>
      <c r="V514" t="s">
        <v>2903</v>
      </c>
    </row>
    <row r="515">
      <c r="A515" t="s">
        <v>1929</v>
      </c>
      <c r="B515" t="s">
        <v>2904</v>
      </c>
      <c r="C515" t="s">
        <v>52</v>
      </c>
      <c r="D515" t="s">
        <v>52</v>
      </c>
      <c r="E515" t="s">
        <v>2905</v>
      </c>
      <c r="F515" s="2" t="n">
        <f>HYPERLINK("https://patents.google.com/patent/US10508920","Google")</f>
        <v>0.0</v>
      </c>
      <c r="G515" s="2" t="n">
        <f>HYPERLINK("https://patentcenter.uspto.gov/applications/14532750","Patent Center")</f>
        <v>0.0</v>
      </c>
      <c r="H515" s="2" t="n">
        <f>HYPERLINK("https://worldwide.espacenet.com/patent/search?q=US10508920","Espacenet")</f>
        <v>0.0</v>
      </c>
      <c r="I515" s="2" t="n">
        <f>HYPERLINK("https://ppubs.uspto.gov/pubwebapp/external.html?q=10508920.pn.","USPTO")</f>
        <v>0.0</v>
      </c>
      <c r="J515" s="2" t="n">
        <f>HYPERLINK("https://image-ppubs.uspto.gov/dirsearch-public/print/downloadPdf/10508920","USPTO PDF")</f>
        <v>0.0</v>
      </c>
      <c r="K515" s="2" t="n">
        <f>HYPERLINK("https://sectors.patentforecast.com/pmd/US10508920","PMD")</f>
        <v>0.0</v>
      </c>
      <c r="L515" s="2" t="n">
        <f>HYPERLINK("https://globaldossier.uspto.gov/result/patent/US/10508920/1","US10508920")</f>
        <v>0.0</v>
      </c>
      <c r="M515" t="s">
        <v>2906</v>
      </c>
      <c r="N515" t="s">
        <v>2907</v>
      </c>
      <c r="O515" t="s">
        <v>2908</v>
      </c>
      <c r="P515" t="s">
        <v>2909</v>
      </c>
      <c r="Q515" s="3" t="n">
        <v>41947.0</v>
      </c>
      <c r="R515" s="3" t="n">
        <v>43816.0</v>
      </c>
      <c r="S515" s="3" t="n">
        <v>43816.98947291667</v>
      </c>
      <c r="T515" s="3" t="n">
        <v>43817.64110649306</v>
      </c>
      <c r="U515" t="s">
        <v>2910</v>
      </c>
      <c r="V515" t="s">
        <v>2911</v>
      </c>
    </row>
    <row r="516">
      <c r="A516" t="s">
        <v>1929</v>
      </c>
      <c r="B516" t="s">
        <v>2912</v>
      </c>
      <c r="C516" t="s">
        <v>24</v>
      </c>
      <c r="D516" t="s">
        <v>25</v>
      </c>
      <c r="E516" t="s">
        <v>2044</v>
      </c>
      <c r="F516" s="2" t="n">
        <f>HYPERLINK("https://patents.google.com/patent/US10477415","Google")</f>
        <v>0.0</v>
      </c>
      <c r="G516" s="2" t="n">
        <f>HYPERLINK("https://patentcenter.uspto.gov/applications/15349352","Patent Center")</f>
        <v>0.0</v>
      </c>
      <c r="H516" s="2" t="n">
        <f>HYPERLINK("https://worldwide.espacenet.com/patent/search?q=US10477415","Espacenet")</f>
        <v>0.0</v>
      </c>
      <c r="I516" s="2" t="n">
        <f>HYPERLINK("https://ppubs.uspto.gov/pubwebapp/external.html?q=10477415.pn.","USPTO")</f>
        <v>0.0</v>
      </c>
      <c r="J516" s="2" t="n">
        <f>HYPERLINK("https://image-ppubs.uspto.gov/dirsearch-public/print/downloadPdf/10477415","USPTO PDF")</f>
        <v>0.0</v>
      </c>
      <c r="K516" s="2" t="n">
        <f>HYPERLINK("https://sectors.patentforecast.com/pmd/US10477415","PMD")</f>
        <v>0.0</v>
      </c>
      <c r="L516" s="2" t="n">
        <f>HYPERLINK("https://globaldossier.uspto.gov/result/patent/US/10477415/1","US10477415")</f>
        <v>0.0</v>
      </c>
      <c r="M516" t="s">
        <v>2913</v>
      </c>
      <c r="N516" t="s">
        <v>930</v>
      </c>
      <c r="O516" t="s">
        <v>931</v>
      </c>
      <c r="P516" t="s">
        <v>2045</v>
      </c>
      <c r="Q516" s="3" t="n">
        <v>42685.0</v>
      </c>
      <c r="R516" s="3" t="n">
        <v>43781.0</v>
      </c>
      <c r="S516" s="3" t="n">
        <v>43791.411243344905</v>
      </c>
      <c r="T516" s="3" t="n">
        <v>43791.48758368056</v>
      </c>
      <c r="U516" t="s">
        <v>2914</v>
      </c>
      <c r="V516" t="s">
        <v>1367</v>
      </c>
    </row>
    <row r="517">
      <c r="A517" t="s">
        <v>1929</v>
      </c>
      <c r="B517" t="s">
        <v>2915</v>
      </c>
      <c r="C517" t="s">
        <v>168</v>
      </c>
      <c r="D517" t="s">
        <v>168</v>
      </c>
      <c r="E517" t="s">
        <v>2916</v>
      </c>
      <c r="F517" s="2" t="n">
        <f>HYPERLINK("https://patents.google.com/patent/US10476054","Google")</f>
        <v>0.0</v>
      </c>
      <c r="G517" s="2" t="n">
        <f>HYPERLINK("https://patentcenter.uspto.gov/applications/15836259","Patent Center")</f>
        <v>0.0</v>
      </c>
      <c r="H517" s="2" t="n">
        <f>HYPERLINK("https://worldwide.espacenet.com/patent/search?q=US10476054","Espacenet")</f>
        <v>0.0</v>
      </c>
      <c r="I517" s="2" t="n">
        <f>HYPERLINK("https://ppubs.uspto.gov/pubwebapp/external.html?q=10476054.pn.","USPTO")</f>
        <v>0.0</v>
      </c>
      <c r="J517" s="2" t="n">
        <f>HYPERLINK("https://image-ppubs.uspto.gov/dirsearch-public/print/downloadPdf/10476054","USPTO PDF")</f>
        <v>0.0</v>
      </c>
      <c r="K517" s="2" t="n">
        <f>HYPERLINK("https://sectors.patentforecast.com/pmd/US10476054","PMD")</f>
        <v>0.0</v>
      </c>
      <c r="L517" s="2" t="n">
        <f>HYPERLINK("https://globaldossier.uspto.gov/result/patent/US/10476054/1","US10476054")</f>
        <v>0.0</v>
      </c>
      <c r="M517" t="s">
        <v>1079</v>
      </c>
      <c r="N517" t="s">
        <v>283</v>
      </c>
      <c r="O517" t="s">
        <v>284</v>
      </c>
      <c r="P517" t="s">
        <v>2501</v>
      </c>
      <c r="Q517" s="3" t="n">
        <v>43077.0</v>
      </c>
      <c r="R517" s="3" t="n">
        <v>43781.0</v>
      </c>
      <c r="S517" s="3" t="n">
        <v>43789.473745208335</v>
      </c>
      <c r="T517" s="3" t="n">
        <v>43789.49026929398</v>
      </c>
      <c r="U517" t="s">
        <v>2917</v>
      </c>
      <c r="V517" t="s">
        <v>2918</v>
      </c>
    </row>
    <row r="518">
      <c r="A518" t="s">
        <v>1929</v>
      </c>
      <c r="B518" t="s">
        <v>2919</v>
      </c>
      <c r="C518" t="s">
        <v>61</v>
      </c>
      <c r="D518" t="s">
        <v>61</v>
      </c>
      <c r="E518" t="s">
        <v>2920</v>
      </c>
      <c r="F518" s="2" t="n">
        <f>HYPERLINK("https://patents.google.com/patent/US10469136","Google")</f>
        <v>0.0</v>
      </c>
      <c r="G518" s="2" t="n">
        <f>HYPERLINK("https://patentcenter.uspto.gov/applications/16082915","Patent Center")</f>
        <v>0.0</v>
      </c>
      <c r="H518" s="2" t="n">
        <f>HYPERLINK("https://worldwide.espacenet.com/patent/search?q=US10469136","Espacenet")</f>
        <v>0.0</v>
      </c>
      <c r="I518" s="2" t="n">
        <f>HYPERLINK("https://ppubs.uspto.gov/pubwebapp/external.html?q=10469136.pn.","USPTO")</f>
        <v>0.0</v>
      </c>
      <c r="J518" s="2" t="n">
        <f>HYPERLINK("https://image-ppubs.uspto.gov/dirsearch-public/print/downloadPdf/10469136","USPTO PDF")</f>
        <v>0.0</v>
      </c>
      <c r="K518" s="2" t="n">
        <f>HYPERLINK("https://sectors.patentforecast.com/pmd/US10469136","PMD")</f>
        <v>0.0</v>
      </c>
      <c r="L518" s="2" t="n">
        <f>HYPERLINK("https://globaldossier.uspto.gov/result/patent/US/10469136/1","US10469136")</f>
        <v>0.0</v>
      </c>
      <c r="M518" t="s">
        <v>889</v>
      </c>
      <c r="N518" t="s">
        <v>116</v>
      </c>
      <c r="O518" t="s">
        <v>117</v>
      </c>
      <c r="P518" t="s">
        <v>2921</v>
      </c>
      <c r="Q518" s="3" t="n">
        <v>42674.0</v>
      </c>
      <c r="R518" s="3" t="n">
        <v>43774.0</v>
      </c>
      <c r="S518" s="3" t="n">
        <v>44497.596402083334</v>
      </c>
      <c r="T518" s="3" t="n">
        <v>44497.64422840278</v>
      </c>
      <c r="U518" t="s">
        <v>2922</v>
      </c>
      <c r="V518" t="s">
        <v>2923</v>
      </c>
    </row>
    <row r="519">
      <c r="A519" t="s">
        <v>1929</v>
      </c>
      <c r="B519" t="s">
        <v>2924</v>
      </c>
      <c r="C519" t="s">
        <v>61</v>
      </c>
      <c r="D519" t="s">
        <v>61</v>
      </c>
      <c r="E519" t="s">
        <v>2614</v>
      </c>
      <c r="F519" s="2" t="n">
        <f>HYPERLINK("https://patents.google.com/patent/US10468755","Google")</f>
        <v>0.0</v>
      </c>
      <c r="G519" s="2" t="n">
        <f>HYPERLINK("https://patentcenter.uspto.gov/applications/15873836","Patent Center")</f>
        <v>0.0</v>
      </c>
      <c r="H519" s="2" t="n">
        <f>HYPERLINK("https://worldwide.espacenet.com/patent/search?q=US10468755","Espacenet")</f>
        <v>0.0</v>
      </c>
      <c r="I519" s="2" t="n">
        <f>HYPERLINK("https://ppubs.uspto.gov/pubwebapp/external.html?q=10468755.pn.","USPTO")</f>
        <v>0.0</v>
      </c>
      <c r="J519" s="2" t="n">
        <f>HYPERLINK("https://image-ppubs.uspto.gov/dirsearch-public/print/downloadPdf/10468755","USPTO PDF")</f>
        <v>0.0</v>
      </c>
      <c r="K519" s="2" t="n">
        <f>HYPERLINK("https://sectors.patentforecast.com/pmd/US10468755","PMD")</f>
        <v>0.0</v>
      </c>
      <c r="L519" s="2" t="n">
        <f>HYPERLINK("https://globaldossier.uspto.gov/result/patent/US/10468755/1","US10468755")</f>
        <v>0.0</v>
      </c>
      <c r="M519" t="s">
        <v>942</v>
      </c>
      <c r="N519" t="s">
        <v>314</v>
      </c>
      <c r="O519" t="s">
        <v>315</v>
      </c>
      <c r="P519" t="s">
        <v>2012</v>
      </c>
      <c r="Q519" s="3" t="n">
        <v>43117.0</v>
      </c>
      <c r="R519" s="3" t="n">
        <v>43774.0</v>
      </c>
      <c r="S519" s="3" t="n">
        <v>43787.400959293984</v>
      </c>
      <c r="T519" s="3" t="n">
        <v>43788.6818525</v>
      </c>
      <c r="U519" t="s">
        <v>2925</v>
      </c>
      <c r="V519" t="s">
        <v>637</v>
      </c>
    </row>
    <row r="520">
      <c r="A520" t="s">
        <v>1929</v>
      </c>
      <c r="B520" t="s">
        <v>2926</v>
      </c>
      <c r="C520" t="s">
        <v>61</v>
      </c>
      <c r="D520" t="s">
        <v>61</v>
      </c>
      <c r="E520" t="s">
        <v>2927</v>
      </c>
      <c r="F520" s="2" t="n">
        <f>HYPERLINK("https://patents.google.com/patent/US10467909","Google")</f>
        <v>0.0</v>
      </c>
      <c r="G520" s="2" t="n">
        <f>HYPERLINK("https://patentcenter.uspto.gov/applications/14990457","Patent Center")</f>
        <v>0.0</v>
      </c>
      <c r="H520" s="2" t="n">
        <f>HYPERLINK("https://worldwide.espacenet.com/patent/search?q=US10467909","Espacenet")</f>
        <v>0.0</v>
      </c>
      <c r="I520" s="2" t="n">
        <f>HYPERLINK("https://ppubs.uspto.gov/pubwebapp/external.html?q=10467909.pn.","USPTO")</f>
        <v>0.0</v>
      </c>
      <c r="J520" s="2" t="n">
        <f>HYPERLINK("https://image-ppubs.uspto.gov/dirsearch-public/print/downloadPdf/10467909","USPTO PDF")</f>
        <v>0.0</v>
      </c>
      <c r="K520" s="2" t="n">
        <f>HYPERLINK("https://sectors.patentforecast.com/pmd/US10467909","PMD")</f>
        <v>0.0</v>
      </c>
      <c r="L520" s="2" t="n">
        <f>HYPERLINK("https://globaldossier.uspto.gov/result/patent/US/10467909/1","US10467909")</f>
        <v>0.0</v>
      </c>
      <c r="M520" t="s">
        <v>2928</v>
      </c>
      <c r="N520" t="s">
        <v>2929</v>
      </c>
      <c r="O520" t="s">
        <v>2930</v>
      </c>
      <c r="P520" t="s">
        <v>2931</v>
      </c>
      <c r="Q520" s="3" t="n">
        <v>42376.0</v>
      </c>
      <c r="R520" s="3" t="n">
        <v>43774.0</v>
      </c>
      <c r="S520" s="3" t="n">
        <v>44497.636093587964</v>
      </c>
      <c r="T520" s="3" t="n">
        <v>44497.63617306713</v>
      </c>
      <c r="U520" t="s">
        <v>2932</v>
      </c>
      <c r="V520" t="s">
        <v>2933</v>
      </c>
    </row>
    <row r="521">
      <c r="A521" t="s">
        <v>1929</v>
      </c>
      <c r="B521" t="s">
        <v>2934</v>
      </c>
      <c r="C521" t="s">
        <v>168</v>
      </c>
      <c r="D521" t="s">
        <v>168</v>
      </c>
      <c r="E521" t="s">
        <v>2916</v>
      </c>
      <c r="F521" s="2" t="n">
        <f>HYPERLINK("https://patents.google.com/patent/US10461289","Google")</f>
        <v>0.0</v>
      </c>
      <c r="G521" s="2" t="n">
        <f>HYPERLINK("https://patentcenter.uspto.gov/applications/15720270","Patent Center")</f>
        <v>0.0</v>
      </c>
      <c r="H521" s="2" t="n">
        <f>HYPERLINK("https://worldwide.espacenet.com/patent/search?q=US10461289","Espacenet")</f>
        <v>0.0</v>
      </c>
      <c r="I521" s="2" t="n">
        <f>HYPERLINK("https://ppubs.uspto.gov/pubwebapp/external.html?q=10461289.pn.","USPTO")</f>
        <v>0.0</v>
      </c>
      <c r="J521" s="2" t="n">
        <f>HYPERLINK("https://image-ppubs.uspto.gov/dirsearch-public/print/downloadPdf/10461289","USPTO PDF")</f>
        <v>0.0</v>
      </c>
      <c r="K521" s="2" t="n">
        <f>HYPERLINK("https://sectors.patentforecast.com/pmd/US10461289","PMD")</f>
        <v>0.0</v>
      </c>
      <c r="L521" s="2" t="n">
        <f>HYPERLINK("https://globaldossier.uspto.gov/result/patent/US/10461289/1","US10461289")</f>
        <v>0.0</v>
      </c>
      <c r="M521" t="s">
        <v>1099</v>
      </c>
      <c r="N521" t="s">
        <v>283</v>
      </c>
      <c r="O521" t="s">
        <v>284</v>
      </c>
      <c r="P521" t="s">
        <v>2501</v>
      </c>
      <c r="Q521" s="3" t="n">
        <v>43007.0</v>
      </c>
      <c r="R521" s="3" t="n">
        <v>43767.0</v>
      </c>
      <c r="S521" s="3" t="n">
        <v>43789.473745208335</v>
      </c>
      <c r="T521" s="3" t="n">
        <v>43789.49031565972</v>
      </c>
      <c r="U521" t="s">
        <v>2935</v>
      </c>
      <c r="V521" t="s">
        <v>2918</v>
      </c>
    </row>
    <row r="522">
      <c r="A522" t="s">
        <v>1929</v>
      </c>
      <c r="B522" t="s">
        <v>2936</v>
      </c>
      <c r="C522" t="s">
        <v>52</v>
      </c>
      <c r="D522" t="s">
        <v>52</v>
      </c>
      <c r="E522" t="s">
        <v>2937</v>
      </c>
      <c r="F522" s="2" t="n">
        <f>HYPERLINK("https://patents.google.com/patent/US10453327","Google")</f>
        <v>0.0</v>
      </c>
      <c r="G522" s="2" t="n">
        <f>HYPERLINK("https://patentcenter.uspto.gov/applications/15652704","Patent Center")</f>
        <v>0.0</v>
      </c>
      <c r="H522" s="2" t="n">
        <f>HYPERLINK("https://worldwide.espacenet.com/patent/search?q=US10453327","Espacenet")</f>
        <v>0.0</v>
      </c>
      <c r="I522" s="2" t="n">
        <f>HYPERLINK("https://ppubs.uspto.gov/pubwebapp/external.html?q=10453327.pn.","USPTO")</f>
        <v>0.0</v>
      </c>
      <c r="J522" s="2" t="n">
        <f>HYPERLINK("https://image-ppubs.uspto.gov/dirsearch-public/print/downloadPdf/10453327","USPTO PDF")</f>
        <v>0.0</v>
      </c>
      <c r="K522" s="2" t="n">
        <f>HYPERLINK("https://sectors.patentforecast.com/pmd/US10453327","PMD")</f>
        <v>0.0</v>
      </c>
      <c r="L522" s="2" t="n">
        <f>HYPERLINK("https://globaldossier.uspto.gov/result/patent/US/10453327/1","US10453327")</f>
        <v>0.0</v>
      </c>
      <c r="M522" t="s">
        <v>1156</v>
      </c>
      <c r="N522" t="s">
        <v>1157</v>
      </c>
      <c r="O522" t="s">
        <v>1158</v>
      </c>
      <c r="P522" t="s">
        <v>2938</v>
      </c>
      <c r="Q522" s="3" t="n">
        <v>42934.0</v>
      </c>
      <c r="R522" s="3" t="n">
        <v>43760.0</v>
      </c>
      <c r="S522" s="3" t="n">
        <v>43791.43311846065</v>
      </c>
      <c r="T522" s="3" t="n">
        <v>43791.43945344907</v>
      </c>
      <c r="U522" t="s">
        <v>2939</v>
      </c>
      <c r="V522" t="s">
        <v>1361</v>
      </c>
    </row>
    <row r="523">
      <c r="A523" t="s">
        <v>1929</v>
      </c>
      <c r="B523" t="s">
        <v>2940</v>
      </c>
      <c r="C523" t="s">
        <v>168</v>
      </c>
      <c r="D523" t="s">
        <v>168</v>
      </c>
      <c r="E523" t="s">
        <v>2941</v>
      </c>
      <c r="F523" s="2" t="n">
        <f>HYPERLINK("https://patents.google.com/patent/US10439403","Google")</f>
        <v>0.0</v>
      </c>
      <c r="G523" s="2" t="n">
        <f>HYPERLINK("https://patentcenter.uspto.gov/applications/15522494","Patent Center")</f>
        <v>0.0</v>
      </c>
      <c r="H523" s="2" t="n">
        <f>HYPERLINK("https://worldwide.espacenet.com/patent/search?q=US10439403","Espacenet")</f>
        <v>0.0</v>
      </c>
      <c r="I523" s="2" t="n">
        <f>HYPERLINK("https://ppubs.uspto.gov/pubwebapp/external.html?q=10439403.pn.","USPTO")</f>
        <v>0.0</v>
      </c>
      <c r="J523" s="2" t="n">
        <f>HYPERLINK("https://image-ppubs.uspto.gov/dirsearch-public/print/downloadPdf/10439403","USPTO PDF")</f>
        <v>0.0</v>
      </c>
      <c r="K523" s="2" t="n">
        <f>HYPERLINK("https://sectors.patentforecast.com/pmd/US10439403","PMD")</f>
        <v>0.0</v>
      </c>
      <c r="L523" s="2" t="n">
        <f>HYPERLINK("https://globaldossier.uspto.gov/result/patent/US/10439403/1","US10439403")</f>
        <v>0.0</v>
      </c>
      <c r="M523" t="s">
        <v>1150</v>
      </c>
      <c r="N523" t="s">
        <v>852</v>
      </c>
      <c r="O523" t="s">
        <v>853</v>
      </c>
      <c r="P523" t="s">
        <v>2809</v>
      </c>
      <c r="Q523" s="3" t="n">
        <v>42030.0</v>
      </c>
      <c r="R523" s="3" t="n">
        <v>43746.0</v>
      </c>
      <c r="S523" s="3" t="n">
        <v>43787.469573055554</v>
      </c>
      <c r="T523" s="3" t="n">
        <v>43789.65896946759</v>
      </c>
      <c r="U523" t="s">
        <v>2942</v>
      </c>
      <c r="V523" t="s">
        <v>1153</v>
      </c>
    </row>
    <row r="524">
      <c r="A524" t="s">
        <v>1929</v>
      </c>
      <c r="B524" t="s">
        <v>2943</v>
      </c>
      <c r="C524" t="s">
        <v>61</v>
      </c>
      <c r="D524" t="s">
        <v>61</v>
      </c>
      <c r="E524" t="s">
        <v>2944</v>
      </c>
      <c r="F524" s="2" t="n">
        <f>HYPERLINK("https://patents.google.com/patent/US10439295","Google")</f>
        <v>0.0</v>
      </c>
      <c r="G524" s="2" t="n">
        <f>HYPERLINK("https://patentcenter.uspto.gov/applications/16166415","Patent Center")</f>
        <v>0.0</v>
      </c>
      <c r="H524" s="2" t="n">
        <f>HYPERLINK("https://worldwide.espacenet.com/patent/search?q=US10439295","Espacenet")</f>
        <v>0.0</v>
      </c>
      <c r="I524" s="2" t="n">
        <f>HYPERLINK("https://ppubs.uspto.gov/pubwebapp/external.html?q=10439295.pn.","USPTO")</f>
        <v>0.0</v>
      </c>
      <c r="J524" s="2" t="n">
        <f>HYPERLINK("https://image-ppubs.uspto.gov/dirsearch-public/print/downloadPdf/10439295","USPTO PDF")</f>
        <v>0.0</v>
      </c>
      <c r="K524" s="2" t="n">
        <f>HYPERLINK("https://sectors.patentforecast.com/pmd/US10439295","PMD")</f>
        <v>0.0</v>
      </c>
      <c r="L524" s="2" t="n">
        <f>HYPERLINK("https://globaldossier.uspto.gov/result/patent/US/10439295/1","US10439295")</f>
        <v>0.0</v>
      </c>
      <c r="M524" t="s">
        <v>926</v>
      </c>
      <c r="N524" t="s">
        <v>227</v>
      </c>
      <c r="O524" t="s">
        <v>228</v>
      </c>
      <c r="P524" t="s">
        <v>1965</v>
      </c>
      <c r="Q524" s="3" t="n">
        <v>43395.0</v>
      </c>
      <c r="R524" s="3" t="n">
        <v>43746.0</v>
      </c>
      <c r="S524" s="3" t="n">
        <v>43789.56425159722</v>
      </c>
      <c r="T524" s="3" t="n">
        <v>43789.63691300926</v>
      </c>
      <c r="U524" t="s">
        <v>2945</v>
      </c>
      <c r="V524" t="s">
        <v>199</v>
      </c>
    </row>
    <row r="525">
      <c r="A525" t="s">
        <v>1929</v>
      </c>
      <c r="B525" t="s">
        <v>2946</v>
      </c>
      <c r="C525" t="s">
        <v>24</v>
      </c>
      <c r="D525" t="s">
        <v>25</v>
      </c>
      <c r="E525" t="s">
        <v>2947</v>
      </c>
      <c r="F525" s="2" t="n">
        <f>HYPERLINK("https://patents.google.com/patent/US10425133","Google")</f>
        <v>0.0</v>
      </c>
      <c r="G525" s="2" t="n">
        <f>HYPERLINK("https://patentcenter.uspto.gov/applications/16183071","Patent Center")</f>
        <v>0.0</v>
      </c>
      <c r="H525" s="2" t="n">
        <f>HYPERLINK("https://worldwide.espacenet.com/patent/search?q=US10425133","Espacenet")</f>
        <v>0.0</v>
      </c>
      <c r="I525" s="2" t="n">
        <f>HYPERLINK("https://ppubs.uspto.gov/pubwebapp/external.html?q=10425133.pn.","USPTO")</f>
        <v>0.0</v>
      </c>
      <c r="J525" s="2" t="n">
        <f>HYPERLINK("https://image-ppubs.uspto.gov/dirsearch-public/print/downloadPdf/10425133","USPTO PDF")</f>
        <v>0.0</v>
      </c>
      <c r="K525" s="2" t="n">
        <f>HYPERLINK("https://sectors.patentforecast.com/pmd/US10425133","PMD")</f>
        <v>0.0</v>
      </c>
      <c r="L525" s="2" t="n">
        <f>HYPERLINK("https://globaldossier.uspto.gov/result/patent/US/10425133/1","US10425133")</f>
        <v>0.0</v>
      </c>
      <c r="M525" t="s">
        <v>921</v>
      </c>
      <c r="N525" t="s">
        <v>154</v>
      </c>
      <c r="O525" t="s">
        <v>155</v>
      </c>
      <c r="P525" t="s">
        <v>2545</v>
      </c>
      <c r="Q525" s="3" t="n">
        <v>43411.0</v>
      </c>
      <c r="R525" s="3" t="n">
        <v>43732.0</v>
      </c>
      <c r="S525" s="3" t="n">
        <v>44496.75751270833</v>
      </c>
      <c r="T525" s="3" t="n">
        <v>44496.76168258102</v>
      </c>
      <c r="U525" t="s">
        <v>2546</v>
      </c>
      <c r="V525" t="s">
        <v>923</v>
      </c>
    </row>
    <row r="526">
      <c r="A526" t="s">
        <v>1929</v>
      </c>
      <c r="B526" t="s">
        <v>2948</v>
      </c>
      <c r="C526" t="s">
        <v>24</v>
      </c>
      <c r="D526" t="s">
        <v>25</v>
      </c>
      <c r="E526" t="s">
        <v>2949</v>
      </c>
      <c r="F526" s="2" t="n">
        <f>HYPERLINK("https://patents.google.com/patent/US10416268","Google")</f>
        <v>0.0</v>
      </c>
      <c r="G526" s="2" t="n">
        <f>HYPERLINK("https://patentcenter.uspto.gov/applications/15302063","Patent Center")</f>
        <v>0.0</v>
      </c>
      <c r="H526" s="2" t="n">
        <f>HYPERLINK("https://worldwide.espacenet.com/patent/search?q=US10416268","Espacenet")</f>
        <v>0.0</v>
      </c>
      <c r="I526" s="2" t="n">
        <f>HYPERLINK("https://ppubs.uspto.gov/pubwebapp/external.html?q=10416268.pn.","USPTO")</f>
        <v>0.0</v>
      </c>
      <c r="J526" s="2" t="n">
        <f>HYPERLINK("https://image-ppubs.uspto.gov/dirsearch-public/print/downloadPdf/10416268","USPTO PDF")</f>
        <v>0.0</v>
      </c>
      <c r="K526" s="2" t="n">
        <f>HYPERLINK("https://sectors.patentforecast.com/pmd/US10416268","PMD")</f>
        <v>0.0</v>
      </c>
      <c r="L526" s="2" t="n">
        <f>HYPERLINK("https://globaldossier.uspto.gov/result/patent/US/10416268/1","US10416268")</f>
        <v>0.0</v>
      </c>
      <c r="M526" t="s">
        <v>1062</v>
      </c>
      <c r="N526" t="s">
        <v>1063</v>
      </c>
      <c r="O526" t="s">
        <v>1064</v>
      </c>
      <c r="P526" t="s">
        <v>2950</v>
      </c>
      <c r="Q526" s="3" t="n">
        <v>42473.0</v>
      </c>
      <c r="R526" s="3" t="n">
        <v>43725.0</v>
      </c>
      <c r="S526" s="3" t="n">
        <v>43788.41205840278</v>
      </c>
      <c r="T526" s="3" t="n">
        <v>43789.65919201389</v>
      </c>
      <c r="U526" t="s">
        <v>2951</v>
      </c>
      <c r="V526" t="s">
        <v>2952</v>
      </c>
    </row>
    <row r="527">
      <c r="A527" t="s">
        <v>1929</v>
      </c>
      <c r="B527" t="s">
        <v>2953</v>
      </c>
      <c r="C527" t="s">
        <v>24</v>
      </c>
      <c r="D527" t="s">
        <v>25</v>
      </c>
      <c r="E527" t="s">
        <v>2397</v>
      </c>
      <c r="F527" s="2" t="n">
        <f>HYPERLINK("https://patents.google.com/patent/US10382602","Google")</f>
        <v>0.0</v>
      </c>
      <c r="G527" s="2" t="n">
        <f>HYPERLINK("https://patentcenter.uspto.gov/applications/15708061","Patent Center")</f>
        <v>0.0</v>
      </c>
      <c r="H527" s="2" t="n">
        <f>HYPERLINK("https://worldwide.espacenet.com/patent/search?q=US10382602","Espacenet")</f>
        <v>0.0</v>
      </c>
      <c r="I527" s="2" t="n">
        <f>HYPERLINK("https://ppubs.uspto.gov/pubwebapp/external.html?q=10382602.pn.","USPTO")</f>
        <v>0.0</v>
      </c>
      <c r="J527" s="2" t="n">
        <f>HYPERLINK("https://image-ppubs.uspto.gov/dirsearch-public/print/downloadPdf/10382602","USPTO PDF")</f>
        <v>0.0</v>
      </c>
      <c r="K527" s="2" t="n">
        <f>HYPERLINK("https://sectors.patentforecast.com/pmd/US10382602","PMD")</f>
        <v>0.0</v>
      </c>
      <c r="L527" s="2" t="n">
        <f>HYPERLINK("https://globaldossier.uspto.gov/result/patent/US/10382602/1","US10382602")</f>
        <v>0.0</v>
      </c>
      <c r="M527" t="s">
        <v>1091</v>
      </c>
      <c r="N527" t="s">
        <v>314</v>
      </c>
      <c r="O527" t="s">
        <v>315</v>
      </c>
      <c r="P527" t="s">
        <v>2012</v>
      </c>
      <c r="Q527" s="3" t="n">
        <v>42996.0</v>
      </c>
      <c r="R527" s="3" t="n">
        <v>43690.0</v>
      </c>
      <c r="S527" s="3" t="n">
        <v>43787.42582034722</v>
      </c>
      <c r="T527" s="3" t="n">
        <v>43789.410666145835</v>
      </c>
      <c r="U527" t="s">
        <v>2954</v>
      </c>
      <c r="V527" t="s">
        <v>318</v>
      </c>
    </row>
    <row r="528">
      <c r="A528" t="s">
        <v>1929</v>
      </c>
      <c r="B528" t="s">
        <v>2955</v>
      </c>
      <c r="C528" t="s">
        <v>24</v>
      </c>
      <c r="D528" t="s">
        <v>25</v>
      </c>
      <c r="E528" t="s">
        <v>1993</v>
      </c>
      <c r="F528" s="2" t="n">
        <f>HYPERLINK("https://patents.google.com/patent/US10382393","Google")</f>
        <v>0.0</v>
      </c>
      <c r="G528" s="2" t="n">
        <f>HYPERLINK("https://patentcenter.uspto.gov/applications/15680847","Patent Center")</f>
        <v>0.0</v>
      </c>
      <c r="H528" s="2" t="n">
        <f>HYPERLINK("https://worldwide.espacenet.com/patent/search?q=US10382393","Espacenet")</f>
        <v>0.0</v>
      </c>
      <c r="I528" s="2" t="n">
        <f>HYPERLINK("https://ppubs.uspto.gov/pubwebapp/external.html?q=10382393.pn.","USPTO")</f>
        <v>0.0</v>
      </c>
      <c r="J528" s="2" t="n">
        <f>HYPERLINK("https://image-ppubs.uspto.gov/dirsearch-public/print/downloadPdf/10382393","USPTO PDF")</f>
        <v>0.0</v>
      </c>
      <c r="K528" s="2" t="n">
        <f>HYPERLINK("https://sectors.patentforecast.com/pmd/US10382393","PMD")</f>
        <v>0.0</v>
      </c>
      <c r="L528" s="2" t="n">
        <f>HYPERLINK("https://globaldossier.uspto.gov/result/patent/US/10382393/1","US10382393")</f>
        <v>0.0</v>
      </c>
      <c r="M528" t="s">
        <v>2956</v>
      </c>
      <c r="N528" t="s">
        <v>1455</v>
      </c>
      <c r="O528" t="s">
        <v>1456</v>
      </c>
      <c r="P528" t="s">
        <v>1995</v>
      </c>
      <c r="Q528" s="3" t="n">
        <v>42965.0</v>
      </c>
      <c r="R528" s="3" t="n">
        <v>43690.0</v>
      </c>
      <c r="S528" s="3" t="n">
        <v>43790.72998633102</v>
      </c>
      <c r="T528" s="3" t="n">
        <v>43791.588369212965</v>
      </c>
      <c r="U528" t="s">
        <v>2957</v>
      </c>
      <c r="V528" t="s">
        <v>1997</v>
      </c>
    </row>
    <row r="529">
      <c r="A529" t="s">
        <v>1929</v>
      </c>
      <c r="B529" t="s">
        <v>2958</v>
      </c>
      <c r="C529" t="s">
        <v>24</v>
      </c>
      <c r="D529" t="s">
        <v>25</v>
      </c>
      <c r="E529" t="s">
        <v>2714</v>
      </c>
      <c r="F529" s="2" t="n">
        <f>HYPERLINK("https://patents.google.com/patent/US10381714","Google")</f>
        <v>0.0</v>
      </c>
      <c r="G529" s="2" t="n">
        <f>HYPERLINK("https://patentcenter.uspto.gov/applications/16358912","Patent Center")</f>
        <v>0.0</v>
      </c>
      <c r="H529" s="2" t="n">
        <f>HYPERLINK("https://worldwide.espacenet.com/patent/search?q=US10381714","Espacenet")</f>
        <v>0.0</v>
      </c>
      <c r="I529" s="2" t="n">
        <f>HYPERLINK("https://ppubs.uspto.gov/pubwebapp/external.html?q=10381714.pn.","USPTO")</f>
        <v>0.0</v>
      </c>
      <c r="J529" s="2" t="n">
        <f>HYPERLINK("https://image-ppubs.uspto.gov/dirsearch-public/print/downloadPdf/10381714","USPTO PDF")</f>
        <v>0.0</v>
      </c>
      <c r="K529" s="2" t="n">
        <f>HYPERLINK("https://sectors.patentforecast.com/pmd/US10381714","PMD")</f>
        <v>0.0</v>
      </c>
      <c r="L529" s="2" t="n">
        <f>HYPERLINK("https://globaldossier.uspto.gov/result/patent/US/10381714/1","US10381714")</f>
        <v>0.0</v>
      </c>
      <c r="M529" t="s">
        <v>2959</v>
      </c>
      <c r="N529" t="s">
        <v>314</v>
      </c>
      <c r="O529" t="s">
        <v>315</v>
      </c>
      <c r="P529" t="s">
        <v>2012</v>
      </c>
      <c r="Q529" s="3" t="n">
        <v>43544.0</v>
      </c>
      <c r="R529" s="3" t="n">
        <v>43690.0</v>
      </c>
      <c r="S529" s="3" t="n">
        <v>43787.400959293984</v>
      </c>
      <c r="T529" s="3" t="n">
        <v>43788.676245636576</v>
      </c>
      <c r="U529" t="s">
        <v>2960</v>
      </c>
      <c r="V529" t="s">
        <v>2961</v>
      </c>
    </row>
    <row r="530">
      <c r="A530" t="s">
        <v>1929</v>
      </c>
      <c r="B530" t="s">
        <v>2962</v>
      </c>
      <c r="C530" t="s">
        <v>168</v>
      </c>
      <c r="D530" t="s">
        <v>168</v>
      </c>
      <c r="E530" t="s">
        <v>1950</v>
      </c>
      <c r="F530" s="2" t="n">
        <f>HYPERLINK("https://patents.google.com/patent/US10376032","Google")</f>
        <v>0.0</v>
      </c>
      <c r="G530" s="2" t="n">
        <f>HYPERLINK("https://patentcenter.uspto.gov/applications/15928219","Patent Center")</f>
        <v>0.0</v>
      </c>
      <c r="H530" s="2" t="n">
        <f>HYPERLINK("https://worldwide.espacenet.com/patent/search?q=US10376032","Espacenet")</f>
        <v>0.0</v>
      </c>
      <c r="I530" s="2" t="n">
        <f>HYPERLINK("https://ppubs.uspto.gov/pubwebapp/external.html?q=10376032.pn.","USPTO")</f>
        <v>0.0</v>
      </c>
      <c r="J530" s="2" t="n">
        <f>HYPERLINK("https://image-ppubs.uspto.gov/dirsearch-public/print/downloadPdf/10376032","USPTO PDF")</f>
        <v>0.0</v>
      </c>
      <c r="K530" s="2" t="n">
        <f>HYPERLINK("https://sectors.patentforecast.com/pmd/US10376032","PMD")</f>
        <v>0.0</v>
      </c>
      <c r="L530" s="2" t="n">
        <f>HYPERLINK("https://globaldossier.uspto.gov/result/patent/US/10376032/1","US10376032")</f>
        <v>0.0</v>
      </c>
      <c r="M530" t="s">
        <v>2963</v>
      </c>
      <c r="N530" t="s">
        <v>803</v>
      </c>
      <c r="O530" t="s">
        <v>804</v>
      </c>
      <c r="P530" t="s">
        <v>1952</v>
      </c>
      <c r="Q530" s="3" t="n">
        <v>43181.0</v>
      </c>
      <c r="R530" s="3" t="n">
        <v>43690.0</v>
      </c>
      <c r="S530" s="3" t="n">
        <v>43787.469573055554</v>
      </c>
      <c r="T530" s="3" t="n">
        <v>43791.515779629626</v>
      </c>
      <c r="U530" t="s">
        <v>2964</v>
      </c>
      <c r="V530" t="s">
        <v>2965</v>
      </c>
    </row>
    <row r="531">
      <c r="A531" t="s">
        <v>1929</v>
      </c>
      <c r="B531" t="s">
        <v>2966</v>
      </c>
      <c r="C531" t="s">
        <v>24</v>
      </c>
      <c r="D531" t="s">
        <v>25</v>
      </c>
      <c r="E531" t="s">
        <v>2967</v>
      </c>
      <c r="F531" s="2" t="n">
        <f>HYPERLINK("https://patents.google.com/patent/US10348114","Google")</f>
        <v>0.0</v>
      </c>
      <c r="G531" s="2" t="n">
        <f>HYPERLINK("https://patentcenter.uspto.gov/applications/14624510","Patent Center")</f>
        <v>0.0</v>
      </c>
      <c r="H531" s="2" t="n">
        <f>HYPERLINK("https://worldwide.espacenet.com/patent/search?q=US10348114","Espacenet")</f>
        <v>0.0</v>
      </c>
      <c r="I531" s="2" t="n">
        <f>HYPERLINK("https://ppubs.uspto.gov/pubwebapp/external.html?q=10348114.pn.","USPTO")</f>
        <v>0.0</v>
      </c>
      <c r="J531" s="2" t="n">
        <f>HYPERLINK("https://image-ppubs.uspto.gov/dirsearch-public/print/downloadPdf/10348114","USPTO PDF")</f>
        <v>0.0</v>
      </c>
      <c r="K531" s="2" t="n">
        <f>HYPERLINK("https://sectors.patentforecast.com/pmd/US10348114","PMD")</f>
        <v>0.0</v>
      </c>
      <c r="L531" s="2" t="n">
        <f>HYPERLINK("https://globaldossier.uspto.gov/result/patent/US/10348114/1","US10348114")</f>
        <v>0.0</v>
      </c>
      <c r="M531" t="s">
        <v>1296</v>
      </c>
      <c r="N531" t="s">
        <v>829</v>
      </c>
      <c r="O531" t="s">
        <v>830</v>
      </c>
      <c r="P531" t="s">
        <v>2968</v>
      </c>
      <c r="Q531" s="3" t="n">
        <v>42052.0</v>
      </c>
      <c r="R531" s="3" t="n">
        <v>43655.0</v>
      </c>
      <c r="S531" s="3" t="n">
        <v>43789.473745208335</v>
      </c>
      <c r="T531" s="3" t="n">
        <v>43789.50312282408</v>
      </c>
      <c r="U531" t="s">
        <v>2969</v>
      </c>
      <c r="V531" t="s">
        <v>833</v>
      </c>
    </row>
    <row r="532">
      <c r="A532" t="s">
        <v>1929</v>
      </c>
      <c r="B532" t="s">
        <v>2970</v>
      </c>
      <c r="C532" t="s">
        <v>168</v>
      </c>
      <c r="D532" t="s">
        <v>168</v>
      </c>
      <c r="E532" t="s">
        <v>2023</v>
      </c>
      <c r="F532" s="2" t="n">
        <f>HYPERLINK("https://patents.google.com/patent/US10333315","Google")</f>
        <v>0.0</v>
      </c>
      <c r="G532" s="2" t="n">
        <f>HYPERLINK("https://patentcenter.uspto.gov/applications/15463525","Patent Center")</f>
        <v>0.0</v>
      </c>
      <c r="H532" s="2" t="n">
        <f>HYPERLINK("https://worldwide.espacenet.com/patent/search?q=US10333315","Espacenet")</f>
        <v>0.0</v>
      </c>
      <c r="I532" s="2" t="n">
        <f>HYPERLINK("https://ppubs.uspto.gov/pubwebapp/external.html?q=10333315.pn.","USPTO")</f>
        <v>0.0</v>
      </c>
      <c r="J532" s="2" t="n">
        <f>HYPERLINK("https://image-ppubs.uspto.gov/dirsearch-public/print/downloadPdf/10333315","USPTO PDF")</f>
        <v>0.0</v>
      </c>
      <c r="K532" s="2" t="n">
        <f>HYPERLINK("https://sectors.patentforecast.com/pmd/US10333315","PMD")</f>
        <v>0.0</v>
      </c>
      <c r="L532" s="2" t="n">
        <f>HYPERLINK("https://globaldossier.uspto.gov/result/patent/US/10333315/1","US10333315")</f>
        <v>0.0</v>
      </c>
      <c r="M532" t="s">
        <v>1199</v>
      </c>
      <c r="N532" t="s">
        <v>1200</v>
      </c>
      <c r="O532" t="s">
        <v>1201</v>
      </c>
      <c r="P532" t="s">
        <v>2024</v>
      </c>
      <c r="Q532" s="3" t="n">
        <v>42814.0</v>
      </c>
      <c r="R532" s="3" t="n">
        <v>43641.0</v>
      </c>
      <c r="S532" s="3" t="n">
        <v>43789.473745208335</v>
      </c>
      <c r="T532" s="3" t="n">
        <v>43789.56603515046</v>
      </c>
      <c r="U532" t="s">
        <v>2971</v>
      </c>
      <c r="V532" t="s">
        <v>271</v>
      </c>
    </row>
    <row r="533">
      <c r="A533" t="s">
        <v>1929</v>
      </c>
      <c r="B533" t="s">
        <v>2972</v>
      </c>
      <c r="C533" t="s">
        <v>168</v>
      </c>
      <c r="D533" t="s">
        <v>168</v>
      </c>
      <c r="E533" t="s">
        <v>2973</v>
      </c>
      <c r="F533" s="2" t="n">
        <f>HYPERLINK("https://patents.google.com/patent/US10312715","Google")</f>
        <v>0.0</v>
      </c>
      <c r="G533" s="2" t="n">
        <f>HYPERLINK("https://patentcenter.uspto.gov/applications/14856337","Patent Center")</f>
        <v>0.0</v>
      </c>
      <c r="H533" s="2" t="n">
        <f>HYPERLINK("https://worldwide.espacenet.com/patent/search?q=US10312715","Espacenet")</f>
        <v>0.0</v>
      </c>
      <c r="I533" s="2" t="n">
        <f>HYPERLINK("https://ppubs.uspto.gov/pubwebapp/external.html?q=10312715.pn.","USPTO")</f>
        <v>0.0</v>
      </c>
      <c r="J533" s="2" t="n">
        <f>HYPERLINK("https://image-ppubs.uspto.gov/dirsearch-public/print/downloadPdf/10312715","USPTO PDF")</f>
        <v>0.0</v>
      </c>
      <c r="K533" s="2" t="n">
        <f>HYPERLINK("https://sectors.patentforecast.com/pmd/US10312715","PMD")</f>
        <v>0.0</v>
      </c>
      <c r="L533" s="2" t="n">
        <f>HYPERLINK("https://globaldossier.uspto.gov/result/patent/US/10312715/1","US10312715")</f>
        <v>0.0</v>
      </c>
      <c r="M533" t="s">
        <v>1235</v>
      </c>
      <c r="N533" t="s">
        <v>1032</v>
      </c>
      <c r="O533" t="s">
        <v>1033</v>
      </c>
      <c r="P533" t="s">
        <v>2974</v>
      </c>
      <c r="Q533" s="3" t="n">
        <v>42263.0</v>
      </c>
      <c r="R533" s="3" t="n">
        <v>43620.0</v>
      </c>
      <c r="S533" s="3" t="n">
        <v>43788.41205840278</v>
      </c>
      <c r="T533" s="3" t="n">
        <v>43789.443948252316</v>
      </c>
      <c r="U533" t="s">
        <v>2975</v>
      </c>
      <c r="V533" t="s">
        <v>1220</v>
      </c>
    </row>
    <row r="534">
      <c r="A534" t="s">
        <v>1929</v>
      </c>
      <c r="B534" t="s">
        <v>2976</v>
      </c>
      <c r="C534" t="s">
        <v>168</v>
      </c>
      <c r="D534" t="s">
        <v>168</v>
      </c>
      <c r="E534" t="s">
        <v>1989</v>
      </c>
      <c r="F534" s="2" t="n">
        <f>HYPERLINK("https://patents.google.com/patent/US10309832","Google")</f>
        <v>0.0</v>
      </c>
      <c r="G534" s="2" t="n">
        <f>HYPERLINK("https://patentcenter.uspto.gov/applications/15681329","Patent Center")</f>
        <v>0.0</v>
      </c>
      <c r="H534" s="2" t="n">
        <f>HYPERLINK("https://worldwide.espacenet.com/patent/search?q=US10309832","Espacenet")</f>
        <v>0.0</v>
      </c>
      <c r="I534" s="2" t="n">
        <f>HYPERLINK("https://ppubs.uspto.gov/pubwebapp/external.html?q=10309832.pn.","USPTO")</f>
        <v>0.0</v>
      </c>
      <c r="J534" s="2" t="n">
        <f>HYPERLINK("https://image-ppubs.uspto.gov/dirsearch-public/print/downloadPdf/10309832","USPTO PDF")</f>
        <v>0.0</v>
      </c>
      <c r="K534" s="2" t="n">
        <f>HYPERLINK("https://sectors.patentforecast.com/pmd/US10309832","PMD")</f>
        <v>0.0</v>
      </c>
      <c r="L534" s="2" t="n">
        <f>HYPERLINK("https://globaldossier.uspto.gov/result/patent/US/10309832/1","US10309832")</f>
        <v>0.0</v>
      </c>
      <c r="M534" t="s">
        <v>1136</v>
      </c>
      <c r="N534" t="s">
        <v>1137</v>
      </c>
      <c r="O534" t="s">
        <v>1138</v>
      </c>
      <c r="P534" t="s">
        <v>1990</v>
      </c>
      <c r="Q534" s="3" t="n">
        <v>42965.0</v>
      </c>
      <c r="R534" s="3" t="n">
        <v>43620.0</v>
      </c>
      <c r="S534" s="3" t="n">
        <v>43789.473745208335</v>
      </c>
      <c r="T534" s="3" t="n">
        <v>43789.48970568287</v>
      </c>
      <c r="U534" t="s">
        <v>2977</v>
      </c>
      <c r="V534" t="s">
        <v>1141</v>
      </c>
    </row>
    <row r="535">
      <c r="A535" t="s">
        <v>1929</v>
      </c>
      <c r="B535" t="s">
        <v>2978</v>
      </c>
      <c r="C535" t="s">
        <v>24</v>
      </c>
      <c r="D535" t="s">
        <v>25</v>
      </c>
      <c r="E535" t="s">
        <v>2979</v>
      </c>
      <c r="F535" s="2" t="n">
        <f>HYPERLINK("https://patents.google.com/patent/US10305174","Google")</f>
        <v>0.0</v>
      </c>
      <c r="G535" s="2" t="n">
        <f>HYPERLINK("https://patentcenter.uspto.gov/applications/15480136","Patent Center")</f>
        <v>0.0</v>
      </c>
      <c r="H535" s="2" t="n">
        <f>HYPERLINK("https://worldwide.espacenet.com/patent/search?q=US10305174","Espacenet")</f>
        <v>0.0</v>
      </c>
      <c r="I535" s="2" t="n">
        <f>HYPERLINK("https://ppubs.uspto.gov/pubwebapp/external.html?q=10305174.pn.","USPTO")</f>
        <v>0.0</v>
      </c>
      <c r="J535" s="2" t="n">
        <f>HYPERLINK("https://image-ppubs.uspto.gov/dirsearch-public/print/downloadPdf/10305174","USPTO PDF")</f>
        <v>0.0</v>
      </c>
      <c r="K535" s="2" t="n">
        <f>HYPERLINK("https://sectors.patentforecast.com/pmd/US10305174","PMD")</f>
        <v>0.0</v>
      </c>
      <c r="L535" s="2" t="n">
        <f>HYPERLINK("https://globaldossier.uspto.gov/result/patent/US/10305174/1","US10305174")</f>
        <v>0.0</v>
      </c>
      <c r="M535" t="s">
        <v>990</v>
      </c>
      <c r="N535" t="s">
        <v>991</v>
      </c>
      <c r="O535" t="s">
        <v>992</v>
      </c>
      <c r="P535" t="s">
        <v>2980</v>
      </c>
      <c r="Q535" s="3" t="n">
        <v>42830.0</v>
      </c>
      <c r="R535" s="3" t="n">
        <v>43613.0</v>
      </c>
      <c r="S535" s="3" t="n">
        <v>43788.41205840278</v>
      </c>
      <c r="T535" s="3" t="n">
        <v>43789.40971784722</v>
      </c>
      <c r="U535" t="s">
        <v>2981</v>
      </c>
      <c r="V535" t="s">
        <v>995</v>
      </c>
    </row>
    <row r="536">
      <c r="A536" t="s">
        <v>1929</v>
      </c>
      <c r="B536" t="s">
        <v>2982</v>
      </c>
      <c r="C536" t="s">
        <v>168</v>
      </c>
      <c r="D536" t="s">
        <v>168</v>
      </c>
      <c r="E536" t="s">
        <v>2983</v>
      </c>
      <c r="F536" s="2" t="n">
        <f>HYPERLINK("https://patents.google.com/patent/US10285477","Google")</f>
        <v>0.0</v>
      </c>
      <c r="G536" s="2" t="n">
        <f>HYPERLINK("https://patentcenter.uspto.gov/applications/15729609","Patent Center")</f>
        <v>0.0</v>
      </c>
      <c r="H536" s="2" t="n">
        <f>HYPERLINK("https://worldwide.espacenet.com/patent/search?q=US10285477","Espacenet")</f>
        <v>0.0</v>
      </c>
      <c r="I536" s="2" t="n">
        <f>HYPERLINK("https://ppubs.uspto.gov/pubwebapp/external.html?q=10285477.pn.","USPTO")</f>
        <v>0.0</v>
      </c>
      <c r="J536" s="2" t="n">
        <f>HYPERLINK("https://image-ppubs.uspto.gov/dirsearch-public/print/downloadPdf/10285477","USPTO PDF")</f>
        <v>0.0</v>
      </c>
      <c r="K536" s="2" t="n">
        <f>HYPERLINK("https://sectors.patentforecast.com/pmd/US10285477","PMD")</f>
        <v>0.0</v>
      </c>
      <c r="L536" s="2" t="n">
        <f>HYPERLINK("https://globaldossier.uspto.gov/result/patent/US/10285477/1","US10285477")</f>
        <v>0.0</v>
      </c>
      <c r="M536" t="s">
        <v>1115</v>
      </c>
      <c r="N536" t="s">
        <v>788</v>
      </c>
      <c r="O536" t="s">
        <v>788</v>
      </c>
      <c r="P536" t="s">
        <v>2984</v>
      </c>
      <c r="Q536" s="3" t="n">
        <v>43018.0</v>
      </c>
      <c r="R536" s="3" t="n">
        <v>43599.0</v>
      </c>
      <c r="S536" s="3" t="n">
        <v>43832.99071090278</v>
      </c>
      <c r="T536" s="3" t="n">
        <v>43791.43719425926</v>
      </c>
      <c r="U536" t="s">
        <v>2985</v>
      </c>
      <c r="V536" t="s">
        <v>791</v>
      </c>
    </row>
    <row r="537">
      <c r="A537" t="s">
        <v>1929</v>
      </c>
      <c r="B537" t="s">
        <v>2986</v>
      </c>
      <c r="C537" t="s">
        <v>52</v>
      </c>
      <c r="D537" t="s">
        <v>52</v>
      </c>
      <c r="E537" t="s">
        <v>1960</v>
      </c>
      <c r="F537" s="2" t="n">
        <f>HYPERLINK("https://patents.google.com/patent/US10284251","Google")</f>
        <v>0.0</v>
      </c>
      <c r="G537" s="2" t="n">
        <f>HYPERLINK("https://patentcenter.uspto.gov/applications/15935323","Patent Center")</f>
        <v>0.0</v>
      </c>
      <c r="H537" s="2" t="n">
        <f>HYPERLINK("https://worldwide.espacenet.com/patent/search?q=US10284251","Espacenet")</f>
        <v>0.0</v>
      </c>
      <c r="I537" s="2" t="n">
        <f>HYPERLINK("https://ppubs.uspto.gov/pubwebapp/external.html?q=10284251.pn.","USPTO")</f>
        <v>0.0</v>
      </c>
      <c r="J537" s="2" t="n">
        <f>HYPERLINK("https://image-ppubs.uspto.gov/dirsearch-public/print/downloadPdf/10284251","USPTO PDF")</f>
        <v>0.0</v>
      </c>
      <c r="K537" s="2" t="n">
        <f>HYPERLINK("https://sectors.patentforecast.com/pmd/US10284251","PMD")</f>
        <v>0.0</v>
      </c>
      <c r="L537" s="2" t="n">
        <f>HYPERLINK("https://globaldossier.uspto.gov/result/patent/US/10284251/1","US10284251")</f>
        <v>0.0</v>
      </c>
      <c r="M537" t="s">
        <v>998</v>
      </c>
      <c r="N537" t="s">
        <v>366</v>
      </c>
      <c r="O537" t="s">
        <v>367</v>
      </c>
      <c r="P537" t="s">
        <v>1961</v>
      </c>
      <c r="Q537" s="3" t="n">
        <v>43185.0</v>
      </c>
      <c r="R537" s="3" t="n">
        <v>43592.0</v>
      </c>
      <c r="S537" s="3" t="n">
        <v>43789.56415215278</v>
      </c>
      <c r="T537" s="3" t="n">
        <v>43789.61280347222</v>
      </c>
      <c r="U537" t="s">
        <v>2987</v>
      </c>
      <c r="V537" t="s">
        <v>1000</v>
      </c>
    </row>
    <row r="538">
      <c r="A538" t="s">
        <v>1929</v>
      </c>
      <c r="B538" t="s">
        <v>2988</v>
      </c>
      <c r="C538" t="s">
        <v>24</v>
      </c>
      <c r="D538" t="s">
        <v>25</v>
      </c>
      <c r="E538" t="s">
        <v>1968</v>
      </c>
      <c r="F538" s="2" t="n">
        <f>HYPERLINK("https://patents.google.com/patent/US10277335","Google")</f>
        <v>0.0</v>
      </c>
      <c r="G538" s="2" t="n">
        <f>HYPERLINK("https://patentcenter.uspto.gov/applications/15827297","Patent Center")</f>
        <v>0.0</v>
      </c>
      <c r="H538" s="2" t="n">
        <f>HYPERLINK("https://worldwide.espacenet.com/patent/search?q=US10277335","Espacenet")</f>
        <v>0.0</v>
      </c>
      <c r="I538" s="2" t="n">
        <f>HYPERLINK("https://ppubs.uspto.gov/pubwebapp/external.html?q=10277335.pn.","USPTO")</f>
        <v>0.0</v>
      </c>
      <c r="J538" s="2" t="n">
        <f>HYPERLINK("https://image-ppubs.uspto.gov/dirsearch-public/print/downloadPdf/10277335","USPTO PDF")</f>
        <v>0.0</v>
      </c>
      <c r="K538" s="2" t="n">
        <f>HYPERLINK("https://sectors.patentforecast.com/pmd/US10277335","PMD")</f>
        <v>0.0</v>
      </c>
      <c r="L538" s="2" t="n">
        <f>HYPERLINK("https://globaldossier.uspto.gov/result/patent/US/10277335/1","US10277335")</f>
        <v>0.0</v>
      </c>
      <c r="M538" t="s">
        <v>1084</v>
      </c>
      <c r="N538" t="s">
        <v>1085</v>
      </c>
      <c r="O538" t="s">
        <v>1086</v>
      </c>
      <c r="P538" t="s">
        <v>1969</v>
      </c>
      <c r="Q538" s="3" t="n">
        <v>43069.0</v>
      </c>
      <c r="R538" s="3" t="n">
        <v>43585.0</v>
      </c>
      <c r="S538" s="3" t="n">
        <v>43787.41185239583</v>
      </c>
      <c r="T538" s="3" t="n">
        <v>43789.405286354166</v>
      </c>
      <c r="U538" t="s">
        <v>2989</v>
      </c>
      <c r="V538" t="s">
        <v>1207</v>
      </c>
    </row>
    <row r="539">
      <c r="A539" t="s">
        <v>1929</v>
      </c>
      <c r="B539" t="s">
        <v>2990</v>
      </c>
      <c r="C539" t="s">
        <v>168</v>
      </c>
      <c r="D539" t="s">
        <v>168</v>
      </c>
      <c r="E539" t="s">
        <v>2991</v>
      </c>
      <c r="F539" s="2" t="n">
        <f>HYPERLINK("https://patents.google.com/patent/US10263432","Google")</f>
        <v>0.0</v>
      </c>
      <c r="G539" s="2" t="n">
        <f>HYPERLINK("https://patentcenter.uspto.gov/applications/14585484","Patent Center")</f>
        <v>0.0</v>
      </c>
      <c r="H539" s="2" t="n">
        <f>HYPERLINK("https://worldwide.espacenet.com/patent/search?q=US10263432","Espacenet")</f>
        <v>0.0</v>
      </c>
      <c r="I539" s="2" t="n">
        <f>HYPERLINK("https://ppubs.uspto.gov/pubwebapp/external.html?q=10263432.pn.","USPTO")</f>
        <v>0.0</v>
      </c>
      <c r="J539" s="2" t="n">
        <f>HYPERLINK("https://image-ppubs.uspto.gov/dirsearch-public/print/downloadPdf/10263432","USPTO PDF")</f>
        <v>0.0</v>
      </c>
      <c r="K539" s="2" t="n">
        <f>HYPERLINK("https://sectors.patentforecast.com/pmd/US10263432","PMD")</f>
        <v>0.0</v>
      </c>
      <c r="L539" s="2" t="n">
        <f>HYPERLINK("https://globaldossier.uspto.gov/result/patent/US/10263432/1","US10263432")</f>
        <v>0.0</v>
      </c>
      <c r="M539" t="s">
        <v>2992</v>
      </c>
      <c r="N539" t="s">
        <v>1032</v>
      </c>
      <c r="O539" t="s">
        <v>1033</v>
      </c>
      <c r="P539" t="s">
        <v>1946</v>
      </c>
      <c r="Q539" s="3" t="n">
        <v>42003.0</v>
      </c>
      <c r="R539" s="3" t="n">
        <v>43571.0</v>
      </c>
      <c r="S539" s="3" t="n">
        <v>43791.46459166666</v>
      </c>
      <c r="T539" s="3" t="n">
        <v>43791.478157627316</v>
      </c>
      <c r="U539" t="s">
        <v>2993</v>
      </c>
      <c r="V539" t="s">
        <v>2994</v>
      </c>
    </row>
    <row r="540">
      <c r="A540" t="s">
        <v>1929</v>
      </c>
      <c r="B540" t="s">
        <v>2995</v>
      </c>
      <c r="C540" t="s">
        <v>61</v>
      </c>
      <c r="D540" t="s">
        <v>61</v>
      </c>
      <c r="E540" t="s">
        <v>2996</v>
      </c>
      <c r="F540" s="2" t="n">
        <f>HYPERLINK("https://patents.google.com/patent/US10256890","Google")</f>
        <v>0.0</v>
      </c>
      <c r="G540" s="2" t="n">
        <f>HYPERLINK("https://patentcenter.uspto.gov/applications/15447864","Patent Center")</f>
        <v>0.0</v>
      </c>
      <c r="H540" s="2" t="n">
        <f>HYPERLINK("https://worldwide.espacenet.com/patent/search?q=US10256890","Espacenet")</f>
        <v>0.0</v>
      </c>
      <c r="I540" s="2" t="n">
        <f>HYPERLINK("https://ppubs.uspto.gov/pubwebapp/external.html?q=10256890.pn.","USPTO")</f>
        <v>0.0</v>
      </c>
      <c r="J540" s="2" t="n">
        <f>HYPERLINK("https://image-ppubs.uspto.gov/dirsearch-public/print/downloadPdf/10256890","USPTO PDF")</f>
        <v>0.0</v>
      </c>
      <c r="K540" s="2" t="n">
        <f>HYPERLINK("https://sectors.patentforecast.com/pmd/US10256890","PMD")</f>
        <v>0.0</v>
      </c>
      <c r="L540" s="2" t="n">
        <f>HYPERLINK("https://globaldossier.uspto.gov/result/patent/US/10256890/1","US10256890")</f>
        <v>0.0</v>
      </c>
      <c r="M540" t="s">
        <v>1144</v>
      </c>
      <c r="N540" t="s">
        <v>687</v>
      </c>
      <c r="O540" t="s">
        <v>688</v>
      </c>
      <c r="P540" t="s">
        <v>2997</v>
      </c>
      <c r="Q540" s="3" t="n">
        <v>42796.0</v>
      </c>
      <c r="R540" s="3" t="n">
        <v>43564.0</v>
      </c>
      <c r="S540" s="3" t="n">
        <v>43832.990615648145</v>
      </c>
      <c r="T540" s="3" t="n">
        <v>43789.57604586805</v>
      </c>
      <c r="U540" t="s">
        <v>2998</v>
      </c>
      <c r="V540" t="s">
        <v>1147</v>
      </c>
    </row>
    <row r="541">
      <c r="A541" t="s">
        <v>1929</v>
      </c>
      <c r="B541" t="s">
        <v>2999</v>
      </c>
      <c r="C541" t="s">
        <v>24</v>
      </c>
      <c r="D541" t="s">
        <v>25</v>
      </c>
      <c r="E541" t="s">
        <v>2010</v>
      </c>
      <c r="F541" s="2" t="n">
        <f>HYPERLINK("https://patents.google.com/patent/US10249938","Google")</f>
        <v>0.0</v>
      </c>
      <c r="G541" s="2" t="n">
        <f>HYPERLINK("https://patentcenter.uspto.gov/applications/16190413","Patent Center")</f>
        <v>0.0</v>
      </c>
      <c r="H541" s="2" t="n">
        <f>HYPERLINK("https://worldwide.espacenet.com/patent/search?q=US10249938","Espacenet")</f>
        <v>0.0</v>
      </c>
      <c r="I541" s="2" t="n">
        <f>HYPERLINK("https://ppubs.uspto.gov/pubwebapp/external.html?q=10249938.pn.","USPTO")</f>
        <v>0.0</v>
      </c>
      <c r="J541" s="2" t="n">
        <f>HYPERLINK("https://image-ppubs.uspto.gov/dirsearch-public/print/downloadPdf/10249938","USPTO PDF")</f>
        <v>0.0</v>
      </c>
      <c r="K541" s="2" t="n">
        <f>HYPERLINK("https://sectors.patentforecast.com/pmd/US10249938","PMD")</f>
        <v>0.0</v>
      </c>
      <c r="L541" s="2" t="n">
        <f>HYPERLINK("https://globaldossier.uspto.gov/result/patent/US/10249938/1","US10249938")</f>
        <v>0.0</v>
      </c>
      <c r="M541" t="s">
        <v>878</v>
      </c>
      <c r="N541" t="s">
        <v>314</v>
      </c>
      <c r="O541" t="s">
        <v>315</v>
      </c>
      <c r="P541" t="s">
        <v>2012</v>
      </c>
      <c r="Q541" s="3" t="n">
        <v>43418.0</v>
      </c>
      <c r="R541" s="3" t="n">
        <v>43557.0</v>
      </c>
      <c r="S541" s="3" t="n">
        <v>43787.400959293984</v>
      </c>
      <c r="T541" s="3" t="n">
        <v>43788.67679730324</v>
      </c>
      <c r="U541" t="s">
        <v>3000</v>
      </c>
      <c r="V541" t="s">
        <v>880</v>
      </c>
    </row>
    <row r="542">
      <c r="A542" t="s">
        <v>1929</v>
      </c>
      <c r="B542" t="s">
        <v>3001</v>
      </c>
      <c r="C542" t="s">
        <v>24</v>
      </c>
      <c r="D542" t="s">
        <v>25</v>
      </c>
      <c r="E542" t="s">
        <v>1980</v>
      </c>
      <c r="F542" s="2" t="n">
        <f>HYPERLINK("https://patents.google.com/patent/US10244405","Google")</f>
        <v>0.0</v>
      </c>
      <c r="G542" s="2" t="n">
        <f>HYPERLINK("https://patentcenter.uspto.gov/applications/15699837","Patent Center")</f>
        <v>0.0</v>
      </c>
      <c r="H542" s="2" t="n">
        <f>HYPERLINK("https://worldwide.espacenet.com/patent/search?q=US10244405","Espacenet")</f>
        <v>0.0</v>
      </c>
      <c r="I542" s="2" t="n">
        <f>HYPERLINK("https://ppubs.uspto.gov/pubwebapp/external.html?q=10244405.pn.","USPTO")</f>
        <v>0.0</v>
      </c>
      <c r="J542" s="2" t="n">
        <f>HYPERLINK("https://image-ppubs.uspto.gov/dirsearch-public/print/downloadPdf/10244405","USPTO PDF")</f>
        <v>0.0</v>
      </c>
      <c r="K542" s="2" t="n">
        <f>HYPERLINK("https://sectors.patentforecast.com/pmd/US10244405","PMD")</f>
        <v>0.0</v>
      </c>
      <c r="L542" s="2" t="n">
        <f>HYPERLINK("https://globaldossier.uspto.gov/result/patent/US/10244405/1","US10244405")</f>
        <v>0.0</v>
      </c>
      <c r="M542" t="s">
        <v>3002</v>
      </c>
      <c r="N542" t="s">
        <v>1455</v>
      </c>
      <c r="O542" t="s">
        <v>1456</v>
      </c>
      <c r="P542" t="s">
        <v>1982</v>
      </c>
      <c r="Q542" s="3" t="n">
        <v>42986.0</v>
      </c>
      <c r="R542" s="3" t="n">
        <v>43550.0</v>
      </c>
      <c r="S542" s="3" t="n">
        <v>43790.72906385417</v>
      </c>
      <c r="T542" s="3" t="n">
        <v>43791.58828269676</v>
      </c>
      <c r="U542" t="s">
        <v>1983</v>
      </c>
      <c r="V542" t="s">
        <v>1464</v>
      </c>
    </row>
    <row r="543">
      <c r="A543" t="s">
        <v>1929</v>
      </c>
      <c r="B543" t="s">
        <v>3003</v>
      </c>
      <c r="C543" t="s">
        <v>24</v>
      </c>
      <c r="D543" t="s">
        <v>25</v>
      </c>
      <c r="E543" t="s">
        <v>2005</v>
      </c>
      <c r="F543" s="2" t="n">
        <f>HYPERLINK("https://patents.google.com/patent/US10243273","Google")</f>
        <v>0.0</v>
      </c>
      <c r="G543" s="2" t="n">
        <f>HYPERLINK("https://patentcenter.uspto.gov/applications/16027084","Patent Center")</f>
        <v>0.0</v>
      </c>
      <c r="H543" s="2" t="n">
        <f>HYPERLINK("https://worldwide.espacenet.com/patent/search?q=US10243273","Espacenet")</f>
        <v>0.0</v>
      </c>
      <c r="I543" s="2" t="n">
        <f>HYPERLINK("https://ppubs.uspto.gov/pubwebapp/external.html?q=10243273.pn.","USPTO")</f>
        <v>0.0</v>
      </c>
      <c r="J543" s="2" t="n">
        <f>HYPERLINK("https://image-ppubs.uspto.gov/dirsearch-public/print/downloadPdf/10243273","USPTO PDF")</f>
        <v>0.0</v>
      </c>
      <c r="K543" s="2" t="n">
        <f>HYPERLINK("https://sectors.patentforecast.com/pmd/US10243273","PMD")</f>
        <v>0.0</v>
      </c>
      <c r="L543" s="2" t="n">
        <f>HYPERLINK("https://globaldossier.uspto.gov/result/patent/US/10243273/1","US10243273")</f>
        <v>0.0</v>
      </c>
      <c r="M543" t="s">
        <v>3004</v>
      </c>
      <c r="N543" t="s">
        <v>2561</v>
      </c>
      <c r="O543" t="s">
        <v>2562</v>
      </c>
      <c r="P543" t="s">
        <v>2007</v>
      </c>
      <c r="Q543" s="3" t="n">
        <v>43284.0</v>
      </c>
      <c r="R543" s="3" t="n">
        <v>43550.0</v>
      </c>
      <c r="S543" s="3" t="n">
        <v>43791.466333136574</v>
      </c>
      <c r="T543" s="3" t="n">
        <v>43791.533685104165</v>
      </c>
      <c r="U543" t="s">
        <v>2008</v>
      </c>
      <c r="V543" t="s">
        <v>519</v>
      </c>
    </row>
    <row r="544">
      <c r="A544" t="s">
        <v>1929</v>
      </c>
      <c r="B544" t="s">
        <v>3005</v>
      </c>
      <c r="C544" t="s">
        <v>24</v>
      </c>
      <c r="D544" t="s">
        <v>25</v>
      </c>
      <c r="E544" t="s">
        <v>2010</v>
      </c>
      <c r="F544" s="2" t="n">
        <f>HYPERLINK("https://patents.google.com/patent/US10243261","Google")</f>
        <v>0.0</v>
      </c>
      <c r="G544" s="2" t="n">
        <f>HYPERLINK("https://patentcenter.uspto.gov/applications/15708094","Patent Center")</f>
        <v>0.0</v>
      </c>
      <c r="H544" s="2" t="n">
        <f>HYPERLINK("https://worldwide.espacenet.com/patent/search?q=US10243261","Espacenet")</f>
        <v>0.0</v>
      </c>
      <c r="I544" s="2" t="n">
        <f>HYPERLINK("https://ppubs.uspto.gov/pubwebapp/external.html?q=10243261.pn.","USPTO")</f>
        <v>0.0</v>
      </c>
      <c r="J544" s="2" t="n">
        <f>HYPERLINK("https://image-ppubs.uspto.gov/dirsearch-public/print/downloadPdf/10243261","USPTO PDF")</f>
        <v>0.0</v>
      </c>
      <c r="K544" s="2" t="n">
        <f>HYPERLINK("https://sectors.patentforecast.com/pmd/US10243261","PMD")</f>
        <v>0.0</v>
      </c>
      <c r="L544" s="2" t="n">
        <f>HYPERLINK("https://globaldossier.uspto.gov/result/patent/US/10243261/1","US10243261")</f>
        <v>0.0</v>
      </c>
      <c r="M544" t="s">
        <v>1119</v>
      </c>
      <c r="N544" t="s">
        <v>314</v>
      </c>
      <c r="O544" t="s">
        <v>315</v>
      </c>
      <c r="P544" t="s">
        <v>2012</v>
      </c>
      <c r="Q544" s="3" t="n">
        <v>42996.0</v>
      </c>
      <c r="R544" s="3" t="n">
        <v>43550.0</v>
      </c>
      <c r="S544" s="3" t="n">
        <v>43787.400959293984</v>
      </c>
      <c r="T544" s="3" t="n">
        <v>43788.67679730324</v>
      </c>
      <c r="U544" t="s">
        <v>3006</v>
      </c>
      <c r="V544" t="s">
        <v>3007</v>
      </c>
    </row>
    <row r="545">
      <c r="A545" t="s">
        <v>1929</v>
      </c>
      <c r="B545" t="s">
        <v>3008</v>
      </c>
      <c r="C545" t="s">
        <v>168</v>
      </c>
      <c r="D545" t="s">
        <v>168</v>
      </c>
      <c r="E545" t="s">
        <v>3009</v>
      </c>
      <c r="F545" s="2" t="n">
        <f>HYPERLINK("https://patents.google.com/patent/US10199850","Google")</f>
        <v>0.0</v>
      </c>
      <c r="G545" s="2" t="n">
        <f>HYPERLINK("https://patentcenter.uspto.gov/applications/14856186","Patent Center")</f>
        <v>0.0</v>
      </c>
      <c r="H545" s="2" t="n">
        <f>HYPERLINK("https://worldwide.espacenet.com/patent/search?q=US10199850","Espacenet")</f>
        <v>0.0</v>
      </c>
      <c r="I545" s="2" t="n">
        <f>HYPERLINK("https://ppubs.uspto.gov/pubwebapp/external.html?q=10199850.pn.","USPTO")</f>
        <v>0.0</v>
      </c>
      <c r="J545" s="2" t="n">
        <f>HYPERLINK("https://image-ppubs.uspto.gov/dirsearch-public/print/downloadPdf/10199850","USPTO PDF")</f>
        <v>0.0</v>
      </c>
      <c r="K545" s="2" t="n">
        <f>HYPERLINK("https://sectors.patentforecast.com/pmd/US10199850","PMD")</f>
        <v>0.0</v>
      </c>
      <c r="L545" s="2" t="n">
        <f>HYPERLINK("https://globaldossier.uspto.gov/result/patent/US/10199850/1","US10199850")</f>
        <v>0.0</v>
      </c>
      <c r="M545" t="s">
        <v>1239</v>
      </c>
      <c r="N545" t="s">
        <v>1032</v>
      </c>
      <c r="O545" t="s">
        <v>1033</v>
      </c>
      <c r="P545" t="s">
        <v>3010</v>
      </c>
      <c r="Q545" s="3" t="n">
        <v>42263.0</v>
      </c>
      <c r="R545" s="3" t="n">
        <v>43501.0</v>
      </c>
      <c r="S545" s="3" t="n">
        <v>43788.41205840278</v>
      </c>
      <c r="T545" s="3" t="n">
        <v>43789.44364997685</v>
      </c>
      <c r="U545" t="s">
        <v>3011</v>
      </c>
      <c r="V545" t="s">
        <v>1220</v>
      </c>
    </row>
    <row r="546">
      <c r="A546" t="s">
        <v>1929</v>
      </c>
      <c r="B546" t="s">
        <v>3012</v>
      </c>
      <c r="C546" t="s">
        <v>24</v>
      </c>
      <c r="D546" t="s">
        <v>25</v>
      </c>
      <c r="E546" t="s">
        <v>3013</v>
      </c>
      <c r="F546" s="2" t="n">
        <f>HYPERLINK("https://patents.google.com/patent/US10187433","Google")</f>
        <v>0.0</v>
      </c>
      <c r="G546" s="2" t="n">
        <f>HYPERLINK("https://patentcenter.uspto.gov/applications/15583710","Patent Center")</f>
        <v>0.0</v>
      </c>
      <c r="H546" s="2" t="n">
        <f>HYPERLINK("https://worldwide.espacenet.com/patent/search?q=US10187433","Espacenet")</f>
        <v>0.0</v>
      </c>
      <c r="I546" s="2" t="n">
        <f>HYPERLINK("https://ppubs.uspto.gov/pubwebapp/external.html?q=10187433.pn.","USPTO")</f>
        <v>0.0</v>
      </c>
      <c r="J546" s="2" t="n">
        <f>HYPERLINK("https://image-ppubs.uspto.gov/dirsearch-public/print/downloadPdf/10187433","USPTO PDF")</f>
        <v>0.0</v>
      </c>
      <c r="K546" s="2" t="n">
        <f>HYPERLINK("https://sectors.patentforecast.com/pmd/US10187433","PMD")</f>
        <v>0.0</v>
      </c>
      <c r="L546" s="2" t="n">
        <f>HYPERLINK("https://globaldossier.uspto.gov/result/patent/US/10187433/1","US10187433")</f>
        <v>0.0</v>
      </c>
      <c r="M546" t="s">
        <v>3014</v>
      </c>
      <c r="N546" t="s">
        <v>3015</v>
      </c>
      <c r="O546" t="s">
        <v>3016</v>
      </c>
      <c r="P546" t="s">
        <v>3017</v>
      </c>
      <c r="Q546" s="3" t="n">
        <v>42856.0</v>
      </c>
      <c r="R546" s="3" t="n">
        <v>43487.0</v>
      </c>
      <c r="S546" s="3" t="n">
        <v>43788.41186880787</v>
      </c>
      <c r="T546" s="3" t="n">
        <v>43789.4268459838</v>
      </c>
      <c r="U546" t="s">
        <v>3018</v>
      </c>
      <c r="V546" t="s">
        <v>3019</v>
      </c>
    </row>
    <row r="547">
      <c r="A547" t="s">
        <v>1929</v>
      </c>
      <c r="B547" t="s">
        <v>3020</v>
      </c>
      <c r="C547" t="s">
        <v>24</v>
      </c>
      <c r="D547" t="s">
        <v>25</v>
      </c>
      <c r="E547" t="s">
        <v>2947</v>
      </c>
      <c r="F547" s="2" t="n">
        <f>HYPERLINK("https://patents.google.com/patent/US10187128","Google")</f>
        <v>0.0</v>
      </c>
      <c r="G547" s="2" t="n">
        <f>HYPERLINK("https://patentcenter.uspto.gov/applications/15984350","Patent Center")</f>
        <v>0.0</v>
      </c>
      <c r="H547" s="2" t="n">
        <f>HYPERLINK("https://worldwide.espacenet.com/patent/search?q=US10187128","Espacenet")</f>
        <v>0.0</v>
      </c>
      <c r="I547" s="2" t="n">
        <f>HYPERLINK("https://ppubs.uspto.gov/pubwebapp/external.html?q=10187128.pn.","USPTO")</f>
        <v>0.0</v>
      </c>
      <c r="J547" s="2" t="n">
        <f>HYPERLINK("https://image-ppubs.uspto.gov/dirsearch-public/print/downloadPdf/10187128","USPTO PDF")</f>
        <v>0.0</v>
      </c>
      <c r="K547" s="2" t="n">
        <f>HYPERLINK("https://sectors.patentforecast.com/pmd/US10187128","PMD")</f>
        <v>0.0</v>
      </c>
      <c r="L547" s="2" t="n">
        <f>HYPERLINK("https://globaldossier.uspto.gov/result/patent/US/10187128/1","US10187128")</f>
        <v>0.0</v>
      </c>
      <c r="M547" t="s">
        <v>959</v>
      </c>
      <c r="N547" t="s">
        <v>154</v>
      </c>
      <c r="O547" t="s">
        <v>155</v>
      </c>
      <c r="P547" t="s">
        <v>3021</v>
      </c>
      <c r="Q547" s="3" t="n">
        <v>43239.0</v>
      </c>
      <c r="R547" s="3" t="n">
        <v>43487.0</v>
      </c>
      <c r="S547" s="3" t="n">
        <v>44496.757397546295</v>
      </c>
      <c r="T547" s="3" t="n">
        <v>44496.76168258102</v>
      </c>
      <c r="U547" t="s">
        <v>3022</v>
      </c>
      <c r="V547" t="s">
        <v>923</v>
      </c>
    </row>
    <row r="548">
      <c r="A548" t="s">
        <v>1929</v>
      </c>
      <c r="B548" t="s">
        <v>3023</v>
      </c>
      <c r="C548" t="s">
        <v>24</v>
      </c>
      <c r="D548" t="s">
        <v>25</v>
      </c>
      <c r="E548" t="s">
        <v>2967</v>
      </c>
      <c r="F548" s="2" t="n">
        <f>HYPERLINK("https://patents.google.com/patent/US10186886","Google")</f>
        <v>0.0</v>
      </c>
      <c r="G548" s="2" t="n">
        <f>HYPERLINK("https://patentcenter.uspto.gov/applications/15335321","Patent Center")</f>
        <v>0.0</v>
      </c>
      <c r="H548" s="2" t="n">
        <f>HYPERLINK("https://worldwide.espacenet.com/patent/search?q=US10186886","Espacenet")</f>
        <v>0.0</v>
      </c>
      <c r="I548" s="2" t="n">
        <f>HYPERLINK("https://ppubs.uspto.gov/pubwebapp/external.html?q=10186886.pn.","USPTO")</f>
        <v>0.0</v>
      </c>
      <c r="J548" s="2" t="n">
        <f>HYPERLINK("https://image-ppubs.uspto.gov/dirsearch-public/print/downloadPdf/10186886","USPTO PDF")</f>
        <v>0.0</v>
      </c>
      <c r="K548" s="2" t="n">
        <f>HYPERLINK("https://sectors.patentforecast.com/pmd/US10186886","PMD")</f>
        <v>0.0</v>
      </c>
      <c r="L548" s="2" t="n">
        <f>HYPERLINK("https://globaldossier.uspto.gov/result/patent/US/10186886/1","US10186886")</f>
        <v>0.0</v>
      </c>
      <c r="M548" t="s">
        <v>1243</v>
      </c>
      <c r="N548" t="s">
        <v>829</v>
      </c>
      <c r="O548" t="s">
        <v>830</v>
      </c>
      <c r="P548" t="s">
        <v>2968</v>
      </c>
      <c r="Q548" s="3" t="n">
        <v>42669.0</v>
      </c>
      <c r="R548" s="3" t="n">
        <v>43487.0</v>
      </c>
      <c r="S548" s="3" t="n">
        <v>43789.473683564815</v>
      </c>
      <c r="T548" s="3" t="n">
        <v>43789.503206898145</v>
      </c>
      <c r="U548" t="s">
        <v>3024</v>
      </c>
      <c r="V548" t="s">
        <v>1246</v>
      </c>
    </row>
    <row r="549">
      <c r="A549" t="s">
        <v>1929</v>
      </c>
      <c r="B549" t="s">
        <v>3025</v>
      </c>
      <c r="C549" t="s">
        <v>24</v>
      </c>
      <c r="D549" t="s">
        <v>25</v>
      </c>
      <c r="E549" t="s">
        <v>2010</v>
      </c>
      <c r="F549" s="2" t="n">
        <f>HYPERLINK("https://patents.google.com/patent/US10186759","Google")</f>
        <v>0.0</v>
      </c>
      <c r="G549" s="2" t="n">
        <f>HYPERLINK("https://patentcenter.uspto.gov/applications/15979646","Patent Center")</f>
        <v>0.0</v>
      </c>
      <c r="H549" s="2" t="n">
        <f>HYPERLINK("https://worldwide.espacenet.com/patent/search?q=US10186759","Espacenet")</f>
        <v>0.0</v>
      </c>
      <c r="I549" s="2" t="n">
        <f>HYPERLINK("https://ppubs.uspto.gov/pubwebapp/external.html?q=10186759.pn.","USPTO")</f>
        <v>0.0</v>
      </c>
      <c r="J549" s="2" t="n">
        <f>HYPERLINK("https://image-ppubs.uspto.gov/dirsearch-public/print/downloadPdf/10186759","USPTO PDF")</f>
        <v>0.0</v>
      </c>
      <c r="K549" s="2" t="n">
        <f>HYPERLINK("https://sectors.patentforecast.com/pmd/US10186759","PMD")</f>
        <v>0.0</v>
      </c>
      <c r="L549" s="2" t="n">
        <f>HYPERLINK("https://globaldossier.uspto.gov/result/patent/US/10186759/1","US10186759")</f>
        <v>0.0</v>
      </c>
      <c r="M549" t="s">
        <v>1007</v>
      </c>
      <c r="N549" t="s">
        <v>314</v>
      </c>
      <c r="O549" t="s">
        <v>315</v>
      </c>
      <c r="P549" t="s">
        <v>2012</v>
      </c>
      <c r="Q549" s="3" t="n">
        <v>43235.0</v>
      </c>
      <c r="R549" s="3" t="n">
        <v>43487.0</v>
      </c>
      <c r="S549" s="3" t="n">
        <v>43787.400959293984</v>
      </c>
      <c r="T549" s="3" t="n">
        <v>43788.67679730324</v>
      </c>
      <c r="U549" t="s">
        <v>3026</v>
      </c>
      <c r="V549" t="s">
        <v>880</v>
      </c>
    </row>
    <row r="550">
      <c r="A550" t="s">
        <v>1929</v>
      </c>
      <c r="B550" t="s">
        <v>3027</v>
      </c>
      <c r="C550" t="s">
        <v>168</v>
      </c>
      <c r="D550" t="s">
        <v>168</v>
      </c>
      <c r="E550" t="s">
        <v>3028</v>
      </c>
      <c r="F550" s="2" t="n">
        <f>HYPERLINK("https://patents.google.com/patent/US10158259","Google")</f>
        <v>0.0</v>
      </c>
      <c r="G550" s="2" t="n">
        <f>HYPERLINK("https://patentcenter.uspto.gov/applications/14856219","Patent Center")</f>
        <v>0.0</v>
      </c>
      <c r="H550" s="2" t="n">
        <f>HYPERLINK("https://worldwide.espacenet.com/patent/search?q=US10158259","Espacenet")</f>
        <v>0.0</v>
      </c>
      <c r="I550" s="2" t="n">
        <f>HYPERLINK("https://ppubs.uspto.gov/pubwebapp/external.html?q=10158259.pn.","USPTO")</f>
        <v>0.0</v>
      </c>
      <c r="J550" s="2" t="n">
        <f>HYPERLINK("https://image-ppubs.uspto.gov/dirsearch-public/print/downloadPdf/10158259","USPTO PDF")</f>
        <v>0.0</v>
      </c>
      <c r="K550" s="2" t="n">
        <f>HYPERLINK("https://sectors.patentforecast.com/pmd/US10158259","PMD")</f>
        <v>0.0</v>
      </c>
      <c r="L550" s="2" t="n">
        <f>HYPERLINK("https://globaldossier.uspto.gov/result/patent/US/10158259/1","US10158259")</f>
        <v>0.0</v>
      </c>
      <c r="M550" t="s">
        <v>3029</v>
      </c>
      <c r="N550" t="s">
        <v>1032</v>
      </c>
      <c r="O550" t="s">
        <v>1033</v>
      </c>
      <c r="P550" t="s">
        <v>3010</v>
      </c>
      <c r="Q550" s="3" t="n">
        <v>42263.0</v>
      </c>
      <c r="R550" s="3" t="n">
        <v>43452.0</v>
      </c>
      <c r="S550" s="3" t="n">
        <v>43788.41205840278</v>
      </c>
      <c r="T550" s="3" t="n">
        <v>43789.44841653935</v>
      </c>
      <c r="U550" t="s">
        <v>3030</v>
      </c>
      <c r="V550" t="s">
        <v>3031</v>
      </c>
    </row>
    <row r="551">
      <c r="A551" t="s">
        <v>1929</v>
      </c>
      <c r="B551" t="s">
        <v>3032</v>
      </c>
      <c r="C551" t="s">
        <v>168</v>
      </c>
      <c r="D551" t="s">
        <v>168</v>
      </c>
      <c r="E551" t="s">
        <v>3033</v>
      </c>
      <c r="F551" s="2" t="n">
        <f>HYPERLINK("https://patents.google.com/patent/US10153660","Google")</f>
        <v>0.0</v>
      </c>
      <c r="G551" s="2" t="n">
        <f>HYPERLINK("https://patentcenter.uspto.gov/applications/14861350","Patent Center")</f>
        <v>0.0</v>
      </c>
      <c r="H551" s="2" t="n">
        <f>HYPERLINK("https://worldwide.espacenet.com/patent/search?q=US10153660","Espacenet")</f>
        <v>0.0</v>
      </c>
      <c r="I551" s="2" t="n">
        <f>HYPERLINK("https://ppubs.uspto.gov/pubwebapp/external.html?q=10153660.pn.","USPTO")</f>
        <v>0.0</v>
      </c>
      <c r="J551" s="2" t="n">
        <f>HYPERLINK("https://image-ppubs.uspto.gov/dirsearch-public/print/downloadPdf/10153660","USPTO PDF")</f>
        <v>0.0</v>
      </c>
      <c r="K551" s="2" t="n">
        <f>HYPERLINK("https://sectors.patentforecast.com/pmd/US10153660","PMD")</f>
        <v>0.0</v>
      </c>
      <c r="L551" s="2" t="n">
        <f>HYPERLINK("https://globaldossier.uspto.gov/result/patent/US/10153660/1","US10153660")</f>
        <v>0.0</v>
      </c>
      <c r="M551" t="s">
        <v>3034</v>
      </c>
      <c r="N551" t="s">
        <v>1032</v>
      </c>
      <c r="O551" t="s">
        <v>1033</v>
      </c>
      <c r="P551" t="s">
        <v>1957</v>
      </c>
      <c r="Q551" s="3" t="n">
        <v>42269.0</v>
      </c>
      <c r="R551" s="3" t="n">
        <v>43445.0</v>
      </c>
      <c r="S551" s="3" t="n">
        <v>43788.41205840278</v>
      </c>
      <c r="T551" s="3" t="n">
        <v>43789.445143287034</v>
      </c>
      <c r="U551" t="s">
        <v>3035</v>
      </c>
      <c r="V551" t="s">
        <v>3036</v>
      </c>
    </row>
    <row r="552">
      <c r="A552" t="s">
        <v>1929</v>
      </c>
      <c r="B552" t="s">
        <v>3037</v>
      </c>
      <c r="C552" t="s">
        <v>168</v>
      </c>
      <c r="D552" t="s">
        <v>168</v>
      </c>
      <c r="E552" t="s">
        <v>3038</v>
      </c>
      <c r="F552" s="2" t="n">
        <f>HYPERLINK("https://patents.google.com/patent/US10135295","Google")</f>
        <v>0.0</v>
      </c>
      <c r="G552" s="2" t="n">
        <f>HYPERLINK("https://patentcenter.uspto.gov/applications/14861246","Patent Center")</f>
        <v>0.0</v>
      </c>
      <c r="H552" s="2" t="n">
        <f>HYPERLINK("https://worldwide.espacenet.com/patent/search?q=US10135295","Espacenet")</f>
        <v>0.0</v>
      </c>
      <c r="I552" s="2" t="n">
        <f>HYPERLINK("https://ppubs.uspto.gov/pubwebapp/external.html?q=10135295.pn.","USPTO")</f>
        <v>0.0</v>
      </c>
      <c r="J552" s="2" t="n">
        <f>HYPERLINK("https://image-ppubs.uspto.gov/dirsearch-public/print/downloadPdf/10135295","USPTO PDF")</f>
        <v>0.0</v>
      </c>
      <c r="K552" s="2" t="n">
        <f>HYPERLINK("https://sectors.patentforecast.com/pmd/US10135295","PMD")</f>
        <v>0.0</v>
      </c>
      <c r="L552" s="2" t="n">
        <f>HYPERLINK("https://globaldossier.uspto.gov/result/patent/US/10135295/1","US10135295")</f>
        <v>0.0</v>
      </c>
      <c r="M552" t="s">
        <v>1218</v>
      </c>
      <c r="N552" t="s">
        <v>1032</v>
      </c>
      <c r="O552" t="s">
        <v>1033</v>
      </c>
      <c r="P552" t="s">
        <v>2974</v>
      </c>
      <c r="Q552" s="3" t="n">
        <v>42269.0</v>
      </c>
      <c r="R552" s="3" t="n">
        <v>43424.0</v>
      </c>
      <c r="S552" s="3" t="n">
        <v>43788.41205840278</v>
      </c>
      <c r="T552" s="3" t="n">
        <v>43789.43944120371</v>
      </c>
      <c r="U552" t="s">
        <v>3039</v>
      </c>
      <c r="V552" t="s">
        <v>3040</v>
      </c>
    </row>
    <row r="553">
      <c r="A553" t="s">
        <v>1929</v>
      </c>
      <c r="B553" t="s">
        <v>3041</v>
      </c>
      <c r="C553" t="s">
        <v>168</v>
      </c>
      <c r="D553" t="s">
        <v>168</v>
      </c>
      <c r="E553" t="s">
        <v>3042</v>
      </c>
      <c r="F553" s="2" t="n">
        <f>HYPERLINK("https://patents.google.com/patent/US10135294","Google")</f>
        <v>0.0</v>
      </c>
      <c r="G553" s="2" t="n">
        <f>HYPERLINK("https://patentcenter.uspto.gov/applications/14860858","Patent Center")</f>
        <v>0.0</v>
      </c>
      <c r="H553" s="2" t="n">
        <f>HYPERLINK("https://worldwide.espacenet.com/patent/search?q=US10135294","Espacenet")</f>
        <v>0.0</v>
      </c>
      <c r="I553" s="2" t="n">
        <f>HYPERLINK("https://ppubs.uspto.gov/pubwebapp/external.html?q=10135294.pn.","USPTO")</f>
        <v>0.0</v>
      </c>
      <c r="J553" s="2" t="n">
        <f>HYPERLINK("https://image-ppubs.uspto.gov/dirsearch-public/print/downloadPdf/10135294","USPTO PDF")</f>
        <v>0.0</v>
      </c>
      <c r="K553" s="2" t="n">
        <f>HYPERLINK("https://sectors.patentforecast.com/pmd/US10135294","PMD")</f>
        <v>0.0</v>
      </c>
      <c r="L553" s="2" t="n">
        <f>HYPERLINK("https://globaldossier.uspto.gov/result/patent/US/10135294/1","US10135294")</f>
        <v>0.0</v>
      </c>
      <c r="M553" t="s">
        <v>3043</v>
      </c>
      <c r="N553" t="s">
        <v>1032</v>
      </c>
      <c r="O553" t="s">
        <v>1033</v>
      </c>
      <c r="P553" t="s">
        <v>2974</v>
      </c>
      <c r="Q553" s="3" t="n">
        <v>42269.0</v>
      </c>
      <c r="R553" s="3" t="n">
        <v>43424.0</v>
      </c>
      <c r="S553" s="3" t="n">
        <v>43788.41205840278</v>
      </c>
      <c r="T553" s="3" t="n">
        <v>43789.44535199074</v>
      </c>
      <c r="U553" t="s">
        <v>3044</v>
      </c>
      <c r="V553" t="s">
        <v>3045</v>
      </c>
    </row>
    <row r="554">
      <c r="A554" t="s">
        <v>1929</v>
      </c>
      <c r="B554" t="s">
        <v>3046</v>
      </c>
      <c r="C554" t="s">
        <v>168</v>
      </c>
      <c r="D554" t="s">
        <v>168</v>
      </c>
      <c r="E554" t="s">
        <v>3047</v>
      </c>
      <c r="F554" s="2" t="n">
        <f>HYPERLINK("https://patents.google.com/patent/US10128695","Google")</f>
        <v>0.0</v>
      </c>
      <c r="G554" s="2" t="n">
        <f>HYPERLINK("https://patentcenter.uspto.gov/applications/13926055","Patent Center")</f>
        <v>0.0</v>
      </c>
      <c r="H554" s="2" t="n">
        <f>HYPERLINK("https://worldwide.espacenet.com/patent/search?q=US10128695","Espacenet")</f>
        <v>0.0</v>
      </c>
      <c r="I554" s="2" t="n">
        <f>HYPERLINK("https://ppubs.uspto.gov/pubwebapp/external.html?q=10128695.pn.","USPTO")</f>
        <v>0.0</v>
      </c>
      <c r="J554" s="2" t="n">
        <f>HYPERLINK("https://image-ppubs.uspto.gov/dirsearch-public/print/downloadPdf/10128695","USPTO PDF")</f>
        <v>0.0</v>
      </c>
      <c r="K554" s="2" t="n">
        <f>HYPERLINK("https://sectors.patentforecast.com/pmd/US10128695","PMD")</f>
        <v>0.0</v>
      </c>
      <c r="L554" s="2" t="n">
        <f>HYPERLINK("https://globaldossier.uspto.gov/result/patent/US/10128695/1","US10128695")</f>
        <v>0.0</v>
      </c>
      <c r="M554" t="s">
        <v>1387</v>
      </c>
      <c r="N554" t="s">
        <v>1032</v>
      </c>
      <c r="O554" t="s">
        <v>1033</v>
      </c>
      <c r="P554" t="s">
        <v>1946</v>
      </c>
      <c r="Q554" s="3" t="n">
        <v>41450.0</v>
      </c>
      <c r="R554" s="3" t="n">
        <v>43417.0</v>
      </c>
      <c r="S554" s="3" t="n">
        <v>43791.46459166666</v>
      </c>
      <c r="T554" s="3" t="n">
        <v>43791.46968512732</v>
      </c>
      <c r="U554" t="s">
        <v>3048</v>
      </c>
      <c r="V554" t="s">
        <v>3049</v>
      </c>
    </row>
    <row r="555">
      <c r="A555" t="s">
        <v>1929</v>
      </c>
      <c r="B555" t="s">
        <v>3050</v>
      </c>
      <c r="C555" t="s">
        <v>168</v>
      </c>
      <c r="D555" t="s">
        <v>168</v>
      </c>
      <c r="E555" t="s">
        <v>3051</v>
      </c>
      <c r="F555" s="2" t="n">
        <f>HYPERLINK("https://patents.google.com/patent/US10128686","Google")</f>
        <v>0.0</v>
      </c>
      <c r="G555" s="2" t="n">
        <f>HYPERLINK("https://patentcenter.uspto.gov/applications/14860843","Patent Center")</f>
        <v>0.0</v>
      </c>
      <c r="H555" s="2" t="n">
        <f>HYPERLINK("https://worldwide.espacenet.com/patent/search?q=US10128686","Espacenet")</f>
        <v>0.0</v>
      </c>
      <c r="I555" s="2" t="n">
        <f>HYPERLINK("https://ppubs.uspto.gov/pubwebapp/external.html?q=10128686.pn.","USPTO")</f>
        <v>0.0</v>
      </c>
      <c r="J555" s="2" t="n">
        <f>HYPERLINK("https://image-ppubs.uspto.gov/dirsearch-public/print/downloadPdf/10128686","USPTO PDF")</f>
        <v>0.0</v>
      </c>
      <c r="K555" s="2" t="n">
        <f>HYPERLINK("https://sectors.patentforecast.com/pmd/US10128686","PMD")</f>
        <v>0.0</v>
      </c>
      <c r="L555" s="2" t="n">
        <f>HYPERLINK("https://globaldossier.uspto.gov/result/patent/US/10128686/1","US10128686")</f>
        <v>0.0</v>
      </c>
      <c r="M555" t="s">
        <v>3052</v>
      </c>
      <c r="N555" t="s">
        <v>1032</v>
      </c>
      <c r="O555" t="s">
        <v>1033</v>
      </c>
      <c r="P555" t="s">
        <v>2974</v>
      </c>
      <c r="Q555" s="3" t="n">
        <v>42269.0</v>
      </c>
      <c r="R555" s="3" t="n">
        <v>43417.0</v>
      </c>
      <c r="S555" s="3" t="n">
        <v>43788.41205840278</v>
      </c>
      <c r="T555" s="3" t="n">
        <v>43789.44841653935</v>
      </c>
      <c r="U555" t="s">
        <v>3053</v>
      </c>
      <c r="V555" t="s">
        <v>3054</v>
      </c>
    </row>
    <row r="556">
      <c r="A556" t="s">
        <v>1929</v>
      </c>
      <c r="B556" t="s">
        <v>3055</v>
      </c>
      <c r="C556" t="s">
        <v>168</v>
      </c>
      <c r="D556" t="s">
        <v>168</v>
      </c>
      <c r="E556" t="s">
        <v>3056</v>
      </c>
      <c r="F556" s="2" t="n">
        <f>HYPERLINK("https://patents.google.com/patent/US10116038","Google")</f>
        <v>0.0</v>
      </c>
      <c r="G556" s="2" t="n">
        <f>HYPERLINK("https://patentcenter.uspto.gov/applications/15486882","Patent Center")</f>
        <v>0.0</v>
      </c>
      <c r="H556" s="2" t="n">
        <f>HYPERLINK("https://worldwide.espacenet.com/patent/search?q=US10116038","Espacenet")</f>
        <v>0.0</v>
      </c>
      <c r="I556" s="2" t="n">
        <f>HYPERLINK("https://ppubs.uspto.gov/pubwebapp/external.html?q=10116038.pn.","USPTO")</f>
        <v>0.0</v>
      </c>
      <c r="J556" s="2" t="n">
        <f>HYPERLINK("https://image-ppubs.uspto.gov/dirsearch-public/print/downloadPdf/10116038","USPTO PDF")</f>
        <v>0.0</v>
      </c>
      <c r="K556" s="2" t="n">
        <f>HYPERLINK("https://sectors.patentforecast.com/pmd/US10116038","PMD")</f>
        <v>0.0</v>
      </c>
      <c r="L556" s="2" t="n">
        <f>HYPERLINK("https://globaldossier.uspto.gov/result/patent/US/10116038/1","US10116038")</f>
        <v>0.0</v>
      </c>
      <c r="M556" t="s">
        <v>982</v>
      </c>
      <c r="N556" t="s">
        <v>983</v>
      </c>
      <c r="O556" t="s">
        <v>984</v>
      </c>
      <c r="P556" t="s">
        <v>3057</v>
      </c>
      <c r="Q556" s="3" t="n">
        <v>42838.0</v>
      </c>
      <c r="R556" s="3" t="n">
        <v>43403.0</v>
      </c>
      <c r="S556" s="3" t="n">
        <v>43787.41175863426</v>
      </c>
      <c r="T556" s="3" t="n">
        <v>43789.40658869213</v>
      </c>
      <c r="U556" t="s">
        <v>3058</v>
      </c>
      <c r="V556" t="s">
        <v>987</v>
      </c>
    </row>
    <row r="557">
      <c r="A557" t="s">
        <v>1929</v>
      </c>
      <c r="B557" t="s">
        <v>3059</v>
      </c>
      <c r="C557" t="s">
        <v>24</v>
      </c>
      <c r="D557" t="s">
        <v>25</v>
      </c>
      <c r="E557" t="s">
        <v>3060</v>
      </c>
      <c r="F557" s="2" t="n">
        <f>HYPERLINK("https://patents.google.com/patent/US10109927","Google")</f>
        <v>0.0</v>
      </c>
      <c r="G557" s="2" t="n">
        <f>HYPERLINK("https://patentcenter.uspto.gov/applications/15878531","Patent Center")</f>
        <v>0.0</v>
      </c>
      <c r="H557" s="2" t="n">
        <f>HYPERLINK("https://worldwide.espacenet.com/patent/search?q=US10109927","Espacenet")</f>
        <v>0.0</v>
      </c>
      <c r="I557" s="2" t="n">
        <f>HYPERLINK("https://ppubs.uspto.gov/pubwebapp/external.html?q=10109927.pn.","USPTO")</f>
        <v>0.0</v>
      </c>
      <c r="J557" s="2" t="n">
        <f>HYPERLINK("https://image-ppubs.uspto.gov/dirsearch-public/print/downloadPdf/10109927","USPTO PDF")</f>
        <v>0.0</v>
      </c>
      <c r="K557" s="2" t="n">
        <f>HYPERLINK("https://sectors.patentforecast.com/pmd/US10109927","PMD")</f>
        <v>0.0</v>
      </c>
      <c r="L557" s="2" t="n">
        <f>HYPERLINK("https://globaldossier.uspto.gov/result/patent/US/10109927/1","US10109927")</f>
        <v>0.0</v>
      </c>
      <c r="M557" t="s">
        <v>1058</v>
      </c>
      <c r="N557" t="s">
        <v>227</v>
      </c>
      <c r="O557" t="s">
        <v>228</v>
      </c>
      <c r="P557" t="s">
        <v>1965</v>
      </c>
      <c r="Q557" s="3" t="n">
        <v>43124.0</v>
      </c>
      <c r="R557" s="3" t="n">
        <v>43396.0</v>
      </c>
      <c r="S557" s="3" t="n">
        <v>43789.56425159722</v>
      </c>
      <c r="T557" s="3" t="n">
        <v>43789.6073702662</v>
      </c>
      <c r="U557" t="s">
        <v>2945</v>
      </c>
      <c r="V557" t="s">
        <v>199</v>
      </c>
    </row>
    <row r="558">
      <c r="A558" t="s">
        <v>1929</v>
      </c>
      <c r="B558" t="s">
        <v>3061</v>
      </c>
      <c r="C558" t="s">
        <v>168</v>
      </c>
      <c r="D558" t="s">
        <v>168</v>
      </c>
      <c r="E558" t="s">
        <v>3062</v>
      </c>
      <c r="F558" s="2" t="n">
        <f>HYPERLINK("https://patents.google.com/patent/US10104711","Google")</f>
        <v>0.0</v>
      </c>
      <c r="G558" s="2" t="n">
        <f>HYPERLINK("https://patentcenter.uspto.gov/applications/15437847","Patent Center")</f>
        <v>0.0</v>
      </c>
      <c r="H558" s="2" t="n">
        <f>HYPERLINK("https://worldwide.espacenet.com/patent/search?q=US10104711","Espacenet")</f>
        <v>0.0</v>
      </c>
      <c r="I558" s="2" t="n">
        <f>HYPERLINK("https://ppubs.uspto.gov/pubwebapp/external.html?q=10104711.pn.","USPTO")</f>
        <v>0.0</v>
      </c>
      <c r="J558" s="2" t="n">
        <f>HYPERLINK("https://image-ppubs.uspto.gov/dirsearch-public/print/downloadPdf/10104711","USPTO PDF")</f>
        <v>0.0</v>
      </c>
      <c r="K558" s="2" t="n">
        <f>HYPERLINK("https://sectors.patentforecast.com/pmd/US10104711","PMD")</f>
        <v>0.0</v>
      </c>
      <c r="L558" s="2" t="n">
        <f>HYPERLINK("https://globaldossier.uspto.gov/result/patent/US/10104711/1","US10104711")</f>
        <v>0.0</v>
      </c>
      <c r="M558" t="s">
        <v>3063</v>
      </c>
      <c r="N558" t="s">
        <v>1586</v>
      </c>
      <c r="O558" t="s">
        <v>1587</v>
      </c>
      <c r="P558" t="s">
        <v>3064</v>
      </c>
      <c r="Q558" s="3" t="n">
        <v>42787.0</v>
      </c>
      <c r="R558" s="3" t="n">
        <v>43389.0</v>
      </c>
      <c r="S558" s="3" t="n">
        <v>43790.78670458333</v>
      </c>
      <c r="T558" s="3" t="n">
        <v>43791.47400793982</v>
      </c>
      <c r="U558" t="s">
        <v>2254</v>
      </c>
      <c r="V558" t="s">
        <v>3065</v>
      </c>
    </row>
    <row r="559">
      <c r="A559" t="s">
        <v>1929</v>
      </c>
      <c r="B559" t="s">
        <v>3066</v>
      </c>
      <c r="C559" t="s">
        <v>52</v>
      </c>
      <c r="D559" t="s">
        <v>52</v>
      </c>
      <c r="E559" t="s">
        <v>3067</v>
      </c>
      <c r="F559" s="2" t="n">
        <f>HYPERLINK("https://patents.google.com/patent/US10050470","Google")</f>
        <v>0.0</v>
      </c>
      <c r="G559" s="2" t="n">
        <f>HYPERLINK("https://patentcenter.uspto.gov/applications/14861443","Patent Center")</f>
        <v>0.0</v>
      </c>
      <c r="H559" s="2" t="n">
        <f>HYPERLINK("https://worldwide.espacenet.com/patent/search?q=US10050470","Espacenet")</f>
        <v>0.0</v>
      </c>
      <c r="I559" s="2" t="n">
        <f>HYPERLINK("https://ppubs.uspto.gov/pubwebapp/external.html?q=10050470.pn.","USPTO")</f>
        <v>0.0</v>
      </c>
      <c r="J559" s="2" t="n">
        <f>HYPERLINK("https://image-ppubs.uspto.gov/dirsearch-public/print/downloadPdf/10050470","USPTO PDF")</f>
        <v>0.0</v>
      </c>
      <c r="K559" s="2" t="n">
        <f>HYPERLINK("https://sectors.patentforecast.com/pmd/US10050470","PMD")</f>
        <v>0.0</v>
      </c>
      <c r="L559" s="2" t="n">
        <f>HYPERLINK("https://globaldossier.uspto.gov/result/patent/US/10050470/1","US10050470")</f>
        <v>0.0</v>
      </c>
      <c r="M559" t="s">
        <v>3068</v>
      </c>
      <c r="N559" t="s">
        <v>1032</v>
      </c>
      <c r="O559" t="s">
        <v>1033</v>
      </c>
      <c r="P559" t="s">
        <v>2974</v>
      </c>
      <c r="Q559" s="3" t="n">
        <v>42269.0</v>
      </c>
      <c r="R559" s="3" t="n">
        <v>43326.0</v>
      </c>
      <c r="S559" s="3" t="n">
        <v>43788.41186880787</v>
      </c>
      <c r="T559" s="3" t="n">
        <v>43789.40412609954</v>
      </c>
      <c r="U559" t="s">
        <v>3069</v>
      </c>
      <c r="V559" t="s">
        <v>1036</v>
      </c>
    </row>
    <row r="560">
      <c r="A560" t="s">
        <v>1929</v>
      </c>
      <c r="B560" t="s">
        <v>3070</v>
      </c>
      <c r="C560" t="s">
        <v>168</v>
      </c>
      <c r="D560" t="s">
        <v>168</v>
      </c>
      <c r="E560" t="s">
        <v>3071</v>
      </c>
      <c r="F560" s="2" t="n">
        <f>HYPERLINK("https://patents.google.com/patent/US10033222","Google")</f>
        <v>0.0</v>
      </c>
      <c r="G560" s="2" t="n">
        <f>HYPERLINK("https://patentcenter.uspto.gov/applications/14860963","Patent Center")</f>
        <v>0.0</v>
      </c>
      <c r="H560" s="2" t="n">
        <f>HYPERLINK("https://worldwide.espacenet.com/patent/search?q=US10033222","Espacenet")</f>
        <v>0.0</v>
      </c>
      <c r="I560" s="2" t="n">
        <f>HYPERLINK("https://ppubs.uspto.gov/pubwebapp/external.html?q=10033222.pn.","USPTO")</f>
        <v>0.0</v>
      </c>
      <c r="J560" s="2" t="n">
        <f>HYPERLINK("https://image-ppubs.uspto.gov/dirsearch-public/print/downloadPdf/10033222","USPTO PDF")</f>
        <v>0.0</v>
      </c>
      <c r="K560" s="2" t="n">
        <f>HYPERLINK("https://sectors.patentforecast.com/pmd/US10033222","PMD")</f>
        <v>0.0</v>
      </c>
      <c r="L560" s="2" t="n">
        <f>HYPERLINK("https://globaldossier.uspto.gov/result/patent/US/10033222/1","US10033222")</f>
        <v>0.0</v>
      </c>
      <c r="M560" t="s">
        <v>3072</v>
      </c>
      <c r="N560" t="s">
        <v>1032</v>
      </c>
      <c r="O560" t="s">
        <v>1033</v>
      </c>
      <c r="P560" t="s">
        <v>2974</v>
      </c>
      <c r="Q560" s="3" t="n">
        <v>42269.0</v>
      </c>
      <c r="R560" s="3" t="n">
        <v>43305.0</v>
      </c>
      <c r="S560" s="3" t="n">
        <v>43788.41186880787</v>
      </c>
      <c r="T560" s="3" t="n">
        <v>43789.44756922454</v>
      </c>
      <c r="U560" t="s">
        <v>3073</v>
      </c>
      <c r="V560" t="s">
        <v>1036</v>
      </c>
    </row>
    <row r="561">
      <c r="A561" t="s">
        <v>1929</v>
      </c>
      <c r="B561" t="s">
        <v>3074</v>
      </c>
      <c r="C561" t="s">
        <v>168</v>
      </c>
      <c r="D561" t="s">
        <v>168</v>
      </c>
      <c r="E561" t="s">
        <v>3075</v>
      </c>
      <c r="F561" s="2" t="n">
        <f>HYPERLINK("https://patents.google.com/patent/US10027168","Google")</f>
        <v>0.0</v>
      </c>
      <c r="G561" s="2" t="n">
        <f>HYPERLINK("https://patentcenter.uspto.gov/applications/14860991","Patent Center")</f>
        <v>0.0</v>
      </c>
      <c r="H561" s="2" t="n">
        <f>HYPERLINK("https://worldwide.espacenet.com/patent/search?q=US10027168","Espacenet")</f>
        <v>0.0</v>
      </c>
      <c r="I561" s="2" t="n">
        <f>HYPERLINK("https://ppubs.uspto.gov/pubwebapp/external.html?q=10027168.pn.","USPTO")</f>
        <v>0.0</v>
      </c>
      <c r="J561" s="2" t="n">
        <f>HYPERLINK("https://image-ppubs.uspto.gov/dirsearch-public/print/downloadPdf/10027168","USPTO PDF")</f>
        <v>0.0</v>
      </c>
      <c r="K561" s="2" t="n">
        <f>HYPERLINK("https://sectors.patentforecast.com/pmd/US10027168","PMD")</f>
        <v>0.0</v>
      </c>
      <c r="L561" s="2" t="n">
        <f>HYPERLINK("https://globaldossier.uspto.gov/result/patent/US/10027168/1","US10027168")</f>
        <v>0.0</v>
      </c>
      <c r="M561" t="s">
        <v>1223</v>
      </c>
      <c r="N561" t="s">
        <v>1032</v>
      </c>
      <c r="O561" t="s">
        <v>1033</v>
      </c>
      <c r="P561" t="s">
        <v>2974</v>
      </c>
      <c r="Q561" s="3" t="n">
        <v>42269.0</v>
      </c>
      <c r="R561" s="3" t="n">
        <v>43298.0</v>
      </c>
      <c r="S561" s="3" t="n">
        <v>43788.41186880787</v>
      </c>
      <c r="T561" s="3" t="n">
        <v>43789.447856053244</v>
      </c>
      <c r="U561" t="s">
        <v>3076</v>
      </c>
      <c r="V561" t="s">
        <v>1036</v>
      </c>
    </row>
    <row r="562">
      <c r="A562" t="s">
        <v>1929</v>
      </c>
      <c r="B562" t="s">
        <v>3077</v>
      </c>
      <c r="C562" t="s">
        <v>24</v>
      </c>
      <c r="D562" t="s">
        <v>25</v>
      </c>
      <c r="E562" t="s">
        <v>1980</v>
      </c>
      <c r="F562" s="2" t="n">
        <f>HYPERLINK("https://patents.google.com/patent/US10021619","Google")</f>
        <v>0.0</v>
      </c>
      <c r="G562" s="2" t="n">
        <f>HYPERLINK("https://patentcenter.uspto.gov/applications/15269481","Patent Center")</f>
        <v>0.0</v>
      </c>
      <c r="H562" s="2" t="n">
        <f>HYPERLINK("https://worldwide.espacenet.com/patent/search?q=US10021619","Espacenet")</f>
        <v>0.0</v>
      </c>
      <c r="I562" s="2" t="n">
        <f>HYPERLINK("https://ppubs.uspto.gov/pubwebapp/external.html?q=10021619.pn.","USPTO")</f>
        <v>0.0</v>
      </c>
      <c r="J562" s="2" t="n">
        <f>HYPERLINK("https://image-ppubs.uspto.gov/dirsearch-public/print/downloadPdf/10021619","USPTO PDF")</f>
        <v>0.0</v>
      </c>
      <c r="K562" s="2" t="n">
        <f>HYPERLINK("https://sectors.patentforecast.com/pmd/US10021619","PMD")</f>
        <v>0.0</v>
      </c>
      <c r="L562" s="2" t="n">
        <f>HYPERLINK("https://globaldossier.uspto.gov/result/patent/US/10021619/1","US10021619")</f>
        <v>0.0</v>
      </c>
      <c r="M562" t="s">
        <v>3078</v>
      </c>
      <c r="N562" t="s">
        <v>1455</v>
      </c>
      <c r="O562" t="s">
        <v>1456</v>
      </c>
      <c r="P562" t="s">
        <v>3079</v>
      </c>
      <c r="Q562" s="3" t="n">
        <v>42632.0</v>
      </c>
      <c r="R562" s="3" t="n">
        <v>43291.0</v>
      </c>
      <c r="S562" s="3" t="n">
        <v>43790.72906385417</v>
      </c>
      <c r="T562" s="3" t="n">
        <v>43791.58828269676</v>
      </c>
      <c r="U562" t="s">
        <v>3080</v>
      </c>
      <c r="V562" t="s">
        <v>3081</v>
      </c>
    </row>
    <row r="563">
      <c r="A563" t="s">
        <v>1929</v>
      </c>
      <c r="B563" t="s">
        <v>3082</v>
      </c>
      <c r="C563" t="s">
        <v>24</v>
      </c>
      <c r="D563" t="s">
        <v>25</v>
      </c>
      <c r="E563" t="s">
        <v>3083</v>
      </c>
      <c r="F563" s="2" t="n">
        <f>HYPERLINK("https://patents.google.com/patent/US10020872","Google")</f>
        <v>0.0</v>
      </c>
      <c r="G563" s="2" t="n">
        <f>HYPERLINK("https://patentcenter.uspto.gov/applications/15485849","Patent Center")</f>
        <v>0.0</v>
      </c>
      <c r="H563" s="2" t="n">
        <f>HYPERLINK("https://worldwide.espacenet.com/patent/search?q=US10020872","Espacenet")</f>
        <v>0.0</v>
      </c>
      <c r="I563" s="2" t="n">
        <f>HYPERLINK("https://ppubs.uspto.gov/pubwebapp/external.html?q=10020872.pn.","USPTO")</f>
        <v>0.0</v>
      </c>
      <c r="J563" s="2" t="n">
        <f>HYPERLINK("https://image-ppubs.uspto.gov/dirsearch-public/print/downloadPdf/10020872","USPTO PDF")</f>
        <v>0.0</v>
      </c>
      <c r="K563" s="2" t="n">
        <f>HYPERLINK("https://sectors.patentforecast.com/pmd/US10020872","PMD")</f>
        <v>0.0</v>
      </c>
      <c r="L563" s="2" t="n">
        <f>HYPERLINK("https://globaldossier.uspto.gov/result/patent/US/10020872/1","US10020872")</f>
        <v>0.0</v>
      </c>
      <c r="M563" t="s">
        <v>1070</v>
      </c>
      <c r="N563" t="s">
        <v>445</v>
      </c>
      <c r="O563" t="s">
        <v>446</v>
      </c>
      <c r="P563" t="s">
        <v>3084</v>
      </c>
      <c r="Q563" s="3" t="n">
        <v>42837.0</v>
      </c>
      <c r="R563" s="3" t="n">
        <v>43291.0</v>
      </c>
      <c r="S563" s="3" t="n">
        <v>43789.464255949075</v>
      </c>
      <c r="T563" s="3" t="n">
        <v>43791.48298833334</v>
      </c>
      <c r="U563" t="s">
        <v>3085</v>
      </c>
      <c r="V563" t="s">
        <v>1072</v>
      </c>
    </row>
    <row r="564">
      <c r="A564" t="s">
        <v>1929</v>
      </c>
      <c r="B564" t="s">
        <v>3086</v>
      </c>
      <c r="C564" t="s">
        <v>168</v>
      </c>
      <c r="D564" t="s">
        <v>168</v>
      </c>
      <c r="E564" t="s">
        <v>3087</v>
      </c>
      <c r="F564" s="2" t="n">
        <f>HYPERLINK("https://patents.google.com/patent/US10020678","Google")</f>
        <v>0.0</v>
      </c>
      <c r="G564" s="2" t="n">
        <f>HYPERLINK("https://patentcenter.uspto.gov/applications/14861397","Patent Center")</f>
        <v>0.0</v>
      </c>
      <c r="H564" s="2" t="n">
        <f>HYPERLINK("https://worldwide.espacenet.com/patent/search?q=US10020678","Espacenet")</f>
        <v>0.0</v>
      </c>
      <c r="I564" s="2" t="n">
        <f>HYPERLINK("https://ppubs.uspto.gov/pubwebapp/external.html?q=10020678.pn.","USPTO")</f>
        <v>0.0</v>
      </c>
      <c r="J564" s="2" t="n">
        <f>HYPERLINK("https://image-ppubs.uspto.gov/dirsearch-public/print/downloadPdf/10020678","USPTO PDF")</f>
        <v>0.0</v>
      </c>
      <c r="K564" s="2" t="n">
        <f>HYPERLINK("https://sectors.patentforecast.com/pmd/US10020678","PMD")</f>
        <v>0.0</v>
      </c>
      <c r="L564" s="2" t="n">
        <f>HYPERLINK("https://globaldossier.uspto.gov/result/patent/US/10020678/1","US10020678")</f>
        <v>0.0</v>
      </c>
      <c r="M564" t="s">
        <v>3088</v>
      </c>
      <c r="N564" t="s">
        <v>1032</v>
      </c>
      <c r="O564" t="s">
        <v>1033</v>
      </c>
      <c r="P564" t="s">
        <v>2974</v>
      </c>
      <c r="Q564" s="3" t="n">
        <v>42269.0</v>
      </c>
      <c r="R564" s="3" t="n">
        <v>43291.0</v>
      </c>
      <c r="S564" s="3" t="n">
        <v>43788.41186880787</v>
      </c>
      <c r="T564" s="3" t="n">
        <v>43789.44535199074</v>
      </c>
      <c r="U564" t="s">
        <v>3073</v>
      </c>
      <c r="V564" t="s">
        <v>3089</v>
      </c>
    </row>
    <row r="565">
      <c r="A565" t="s">
        <v>1929</v>
      </c>
      <c r="B565" t="s">
        <v>3090</v>
      </c>
      <c r="C565" t="s">
        <v>24</v>
      </c>
      <c r="D565" t="s">
        <v>25</v>
      </c>
      <c r="E565" t="s">
        <v>2005</v>
      </c>
      <c r="F565" s="2" t="n">
        <f>HYPERLINK("https://patents.google.com/patent/US10020585","Google")</f>
        <v>0.0</v>
      </c>
      <c r="G565" s="2" t="n">
        <f>HYPERLINK("https://patentcenter.uspto.gov/applications/15640219","Patent Center")</f>
        <v>0.0</v>
      </c>
      <c r="H565" s="2" t="n">
        <f>HYPERLINK("https://worldwide.espacenet.com/patent/search?q=US10020585","Espacenet")</f>
        <v>0.0</v>
      </c>
      <c r="I565" s="2" t="n">
        <f>HYPERLINK("https://ppubs.uspto.gov/pubwebapp/external.html?q=10020585.pn.","USPTO")</f>
        <v>0.0</v>
      </c>
      <c r="J565" s="2" t="n">
        <f>HYPERLINK("https://image-ppubs.uspto.gov/dirsearch-public/print/downloadPdf/10020585","USPTO PDF")</f>
        <v>0.0</v>
      </c>
      <c r="K565" s="2" t="n">
        <f>HYPERLINK("https://sectors.patentforecast.com/pmd/US10020585","PMD")</f>
        <v>0.0</v>
      </c>
      <c r="L565" s="2" t="n">
        <f>HYPERLINK("https://globaldossier.uspto.gov/result/patent/US/10020585/1","US10020585")</f>
        <v>0.0</v>
      </c>
      <c r="M565" t="s">
        <v>3091</v>
      </c>
      <c r="N565" t="s">
        <v>2561</v>
      </c>
      <c r="O565" t="s">
        <v>2562</v>
      </c>
      <c r="P565" t="s">
        <v>2007</v>
      </c>
      <c r="Q565" s="3" t="n">
        <v>42916.0</v>
      </c>
      <c r="R565" s="3" t="n">
        <v>43291.0</v>
      </c>
      <c r="S565" s="3" t="n">
        <v>43791.46622542824</v>
      </c>
      <c r="T565" s="3" t="n">
        <v>43791.533685104165</v>
      </c>
      <c r="U565" t="s">
        <v>3092</v>
      </c>
      <c r="V565" t="s">
        <v>3093</v>
      </c>
    </row>
    <row r="566">
      <c r="A566" t="s">
        <v>1929</v>
      </c>
      <c r="B566" t="s">
        <v>3094</v>
      </c>
      <c r="C566" t="s">
        <v>52</v>
      </c>
      <c r="D566" t="s">
        <v>52</v>
      </c>
      <c r="E566" t="s">
        <v>3095</v>
      </c>
      <c r="F566" s="2" t="n">
        <f>HYPERLINK("https://patents.google.com/patent/US10008875","Google")</f>
        <v>0.0</v>
      </c>
      <c r="G566" s="2" t="n">
        <f>HYPERLINK("https://patentcenter.uspto.gov/applications/14856317","Patent Center")</f>
        <v>0.0</v>
      </c>
      <c r="H566" s="2" t="n">
        <f>HYPERLINK("https://worldwide.espacenet.com/patent/search?q=US10008875","Espacenet")</f>
        <v>0.0</v>
      </c>
      <c r="I566" s="2" t="n">
        <f>HYPERLINK("https://ppubs.uspto.gov/pubwebapp/external.html?q=10008875.pn.","USPTO")</f>
        <v>0.0</v>
      </c>
      <c r="J566" s="2" t="n">
        <f>HYPERLINK("https://image-ppubs.uspto.gov/dirsearch-public/print/downloadPdf/10008875","USPTO PDF")</f>
        <v>0.0</v>
      </c>
      <c r="K566" s="2" t="n">
        <f>HYPERLINK("https://sectors.patentforecast.com/pmd/US10008875","PMD")</f>
        <v>0.0</v>
      </c>
      <c r="L566" s="2" t="n">
        <f>HYPERLINK("https://globaldossier.uspto.gov/result/patent/US/10008875/1","US10008875")</f>
        <v>0.0</v>
      </c>
      <c r="M566" t="s">
        <v>3096</v>
      </c>
      <c r="N566" t="s">
        <v>1032</v>
      </c>
      <c r="O566" t="s">
        <v>1033</v>
      </c>
      <c r="P566" t="s">
        <v>3010</v>
      </c>
      <c r="Q566" s="3" t="n">
        <v>42263.0</v>
      </c>
      <c r="R566" s="3" t="n">
        <v>43277.0</v>
      </c>
      <c r="S566" s="3" t="n">
        <v>43788.41186880787</v>
      </c>
      <c r="T566" s="3" t="n">
        <v>43789.4041491088</v>
      </c>
      <c r="U566" t="s">
        <v>3097</v>
      </c>
      <c r="V566" t="s">
        <v>1036</v>
      </c>
    </row>
    <row r="567">
      <c r="A567" t="s">
        <v>1929</v>
      </c>
      <c r="B567" t="s">
        <v>3098</v>
      </c>
      <c r="C567" t="s">
        <v>24</v>
      </c>
      <c r="D567" t="s">
        <v>25</v>
      </c>
      <c r="E567" t="s">
        <v>2010</v>
      </c>
      <c r="F567" s="2" t="n">
        <f>HYPERLINK("https://patents.google.com/patent/US10003124","Google")</f>
        <v>0.0</v>
      </c>
      <c r="G567" s="2" t="n">
        <f>HYPERLINK("https://patentcenter.uspto.gov/applications/15587167","Patent Center")</f>
        <v>0.0</v>
      </c>
      <c r="H567" s="2" t="n">
        <f>HYPERLINK("https://worldwide.espacenet.com/patent/search?q=US10003124","Espacenet")</f>
        <v>0.0</v>
      </c>
      <c r="I567" s="2" t="n">
        <f>HYPERLINK("https://ppubs.uspto.gov/pubwebapp/external.html?q=10003124.pn.","USPTO")</f>
        <v>0.0</v>
      </c>
      <c r="J567" s="2" t="n">
        <f>HYPERLINK("https://image-ppubs.uspto.gov/dirsearch-public/print/downloadPdf/10003124","USPTO PDF")</f>
        <v>0.0</v>
      </c>
      <c r="K567" s="2" t="n">
        <f>HYPERLINK("https://sectors.patentforecast.com/pmd/US10003124","PMD")</f>
        <v>0.0</v>
      </c>
      <c r="L567" s="2" t="n">
        <f>HYPERLINK("https://globaldossier.uspto.gov/result/patent/US/10003124/1","US10003124")</f>
        <v>0.0</v>
      </c>
      <c r="M567" t="s">
        <v>1182</v>
      </c>
      <c r="N567" t="s">
        <v>314</v>
      </c>
      <c r="O567" t="s">
        <v>315</v>
      </c>
      <c r="P567" t="s">
        <v>2012</v>
      </c>
      <c r="Q567" s="3" t="n">
        <v>42859.0</v>
      </c>
      <c r="R567" s="3" t="n">
        <v>43270.0</v>
      </c>
      <c r="S567" s="3" t="n">
        <v>43787.40072453704</v>
      </c>
      <c r="T567" s="3" t="n">
        <v>43788.67679730324</v>
      </c>
      <c r="U567" t="s">
        <v>3099</v>
      </c>
      <c r="V567" t="s">
        <v>1184</v>
      </c>
    </row>
  </sheetData>
  <autoFilter ref="A1:W567"/>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2024-05-18T16:02:39Z</dcterms:created>
  <dc:creator>Apache POI</dc:creator>
</cp:coreProperties>
</file>